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defaultThemeVersion="124226"/>
  <mc:AlternateContent xmlns:mc="http://schemas.openxmlformats.org/markup-compatibility/2006">
    <mc:Choice Requires="x15">
      <x15ac:absPath xmlns:x15ac="http://schemas.microsoft.com/office/spreadsheetml/2010/11/ac" url="C:\Users\ConsedineT\Downloads\"/>
    </mc:Choice>
  </mc:AlternateContent>
  <xr:revisionPtr revIDLastSave="0" documentId="8_{3469CC90-E36E-4EAF-B9BE-171ABAECB5ED}" xr6:coauthVersionLast="47" xr6:coauthVersionMax="47" xr10:uidLastSave="{00000000-0000-0000-0000-000000000000}"/>
  <workbookProtection workbookAlgorithmName="SHA-512" workbookHashValue="lrF4EYnPG8FUFWLWBJBoBR8ftafvmKUMVokQlYFTajZ589hKq69gEv+dh2J7hgIV8KmZoe//ruSFoZR0X48oLg==" workbookSaltValue="jaXslNXtNQmna3elbtpfIA==" workbookSpinCount="100000" lockStructure="1"/>
  <bookViews>
    <workbookView xWindow="-108" yWindow="-108" windowWidth="30936" windowHeight="16284" xr2:uid="{00000000-000D-0000-FFFF-FFFF00000000}"/>
  </bookViews>
  <sheets>
    <sheet name="How to use" sheetId="10" r:id="rId1"/>
    <sheet name="FEEDCHECKER" sheetId="25" r:id="rId2"/>
    <sheet name="CUSTOM FEED SET-UP" sheetId="32" r:id="rId3"/>
    <sheet name="   ASK    " sheetId="13" state="hidden" r:id="rId4"/>
    <sheet name="OBSERVE" sheetId="15" state="hidden" r:id="rId5"/>
    <sheet name="ASSESS &amp; COMPARE" sheetId="29" state="hidden" r:id="rId6"/>
    <sheet name="SUMMARISE 2" sheetId="31" state="hidden" r:id="rId7"/>
    <sheet name="SUMMARISE" sheetId="17" state="hidden" r:id="rId8"/>
    <sheet name="Not so QUICK CHECK" sheetId="21" state="hidden" r:id="rId9"/>
    <sheet name="Extra info" sheetId="8" r:id="rId10"/>
    <sheet name="Data source" sheetId="3" state="hidden" r:id="rId11"/>
    <sheet name="Drop down list set up" sheetId="27" state="hidden" r:id="rId12"/>
    <sheet name="Sheet1" sheetId="22" state="hidden" r:id="rId13"/>
  </sheets>
  <definedNames>
    <definedName name="_">'Drop down list set up'!$J$5:$J$9</definedName>
    <definedName name="Autumn___winter__Irrigated">'Drop down list set up'!$D$6:$J$6</definedName>
    <definedName name="Autumn_and_winter">'Drop down list set up'!$D$5:$J$5</definedName>
    <definedName name="Blank">'Drop down list set up'!#REF!</definedName>
    <definedName name="By_products">'Drop down list set up'!$F$5:$F$14</definedName>
    <definedName name="Code">'Drop down list set up'!$B$5:$B$16</definedName>
    <definedName name="Concentrates">'Drop down list set up'!$E$5:$E$15</definedName>
    <definedName name="Custom_Bulb_Crops">'Drop down list set up'!$K$5:$K$11</definedName>
    <definedName name="custom_feed">'Drop down list set up'!$L$13:$L$16</definedName>
    <definedName name="Custom_feeds">'Drop down list set up'!$L$13:$L$15</definedName>
    <definedName name="Custom_Feeds_Minerals">'Drop down list set up'!$J$5:$J$14</definedName>
    <definedName name="Feed_Type">'Drop down list set up'!$B$5:$K$16</definedName>
    <definedName name="Fodder_beet_Default">'Drop down list set up'!$G$5:$G$11</definedName>
    <definedName name="Forages">'Drop down list set up'!$G$11:$G$12</definedName>
    <definedName name="Forages_crops__not_fodder_beet">'Drop down list set up'!$G$11:$G$16</definedName>
    <definedName name="Forages_crops_not_Fodderbeet">'Drop down list set up'!$G$11:$G$15</definedName>
    <definedName name="FT1_">'Drop down list set up'!$D$19:$D$23</definedName>
    <definedName name="FT2_">'Drop down list set up'!$E$19:$E$23</definedName>
    <definedName name="FT3_">'Drop down list set up'!$F$19:$F$24</definedName>
    <definedName name="FT4_">'Drop down list set up'!$G$19:$G$24</definedName>
    <definedName name="FT5_">'Drop down list set up'!$H$19:$H$28</definedName>
    <definedName name="FT6_">'Drop down list set up'!$I$19:$I$28</definedName>
    <definedName name="FT7_">'Drop down list set up'!$J$19:$J$29</definedName>
    <definedName name="FT8_">'Drop down list set up'!$K$19:$K$28</definedName>
    <definedName name="Hay_Silage">'Drop down list set up'!$D$5:$D$16</definedName>
    <definedName name="Kikuyu___leafy">'Drop down list set up'!$D$12:$J$12</definedName>
    <definedName name="Kikuyu___stemmy">'Drop down list set up'!$D$13:$K$13</definedName>
    <definedName name="Measured_fodder_beet">'Drop down list set up'!$I$13:$I$15</definedName>
    <definedName name="Minerals">'Drop down list set up'!$I$5:$I$14</definedName>
    <definedName name="Other_Crops_Default">'Drop down list set up'!$H$5:$H$13</definedName>
    <definedName name="Pasture">'Drop down list set up'!$C$5:$C$16</definedName>
    <definedName name="_xlnm.Print_Area" localSheetId="5">'ASSESS &amp; COMPARE'!$C$2:$AW$65</definedName>
    <definedName name="Spring">'Drop down list set up'!$D$7:$J$7</definedName>
    <definedName name="Spring___Irrigated">'Drop down list set up'!$D$8:$J$8</definedName>
    <definedName name="SUMMARISE_Print" localSheetId="7">SUMMARISE!$B$2:$U$44</definedName>
    <definedName name="SUMMARISE_Print" localSheetId="6">'SUMMARISE 2'!$B$2:$X$36</definedName>
    <definedName name="Summer___leafy">'Drop down list set up'!$D$9:$J$9</definedName>
    <definedName name="Summer___leafy___irrigated">'Drop down list set up'!$D$10:$J$10</definedName>
    <definedName name="Summer___stalky">'Drop down list set up'!$D$11:$J$11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Z67" i="25" l="1"/>
  <c r="BZ64" i="25"/>
  <c r="BZ61" i="25"/>
  <c r="BZ58" i="25"/>
  <c r="BZ55" i="25"/>
  <c r="BZ52" i="25"/>
  <c r="BZ49" i="25"/>
  <c r="BZ46" i="25"/>
  <c r="BZ43" i="25"/>
  <c r="D24" i="32"/>
  <c r="C24" i="32"/>
  <c r="V23" i="32"/>
  <c r="S23" i="32"/>
  <c r="N23" i="32"/>
  <c r="K23" i="32"/>
  <c r="F23" i="32"/>
  <c r="T20" i="32"/>
  <c r="S20" i="32"/>
  <c r="L20" i="32"/>
  <c r="K20" i="32"/>
  <c r="V19" i="32"/>
  <c r="S19" i="32"/>
  <c r="N19" i="32"/>
  <c r="K19" i="32"/>
  <c r="F19" i="32"/>
  <c r="E19" i="32"/>
  <c r="E21" i="32" s="1"/>
  <c r="E23" i="32" s="1"/>
  <c r="V18" i="32"/>
  <c r="V22" i="32" s="1"/>
  <c r="U18" i="32"/>
  <c r="U19" i="32" s="1"/>
  <c r="T18" i="32"/>
  <c r="T22" i="32" s="1"/>
  <c r="S18" i="32"/>
  <c r="S22" i="32" s="1"/>
  <c r="R18" i="32"/>
  <c r="R22" i="32" s="1"/>
  <c r="Q18" i="32"/>
  <c r="Q23" i="32" s="1"/>
  <c r="P18" i="32"/>
  <c r="P20" i="32" s="1"/>
  <c r="O18" i="32"/>
  <c r="O22" i="32" s="1"/>
  <c r="N18" i="32"/>
  <c r="N22" i="32" s="1"/>
  <c r="M18" i="32"/>
  <c r="M19" i="32" s="1"/>
  <c r="L18" i="32"/>
  <c r="L22" i="32" s="1"/>
  <c r="K18" i="32"/>
  <c r="K22" i="32" s="1"/>
  <c r="J18" i="32"/>
  <c r="J22" i="32" s="1"/>
  <c r="I18" i="32"/>
  <c r="I23" i="32" s="1"/>
  <c r="H18" i="32"/>
  <c r="H20" i="32" s="1"/>
  <c r="G18" i="32"/>
  <c r="G20" i="32" s="1"/>
  <c r="F18" i="32"/>
  <c r="F22" i="32" s="1"/>
  <c r="E18" i="32"/>
  <c r="E20" i="32" s="1"/>
  <c r="E22" i="32" s="1"/>
  <c r="E24" i="32" s="1"/>
  <c r="V17" i="32"/>
  <c r="V24" i="32" s="1"/>
  <c r="U17" i="32"/>
  <c r="T17" i="32"/>
  <c r="S17" i="32"/>
  <c r="S21" i="32" s="1"/>
  <c r="R17" i="32"/>
  <c r="R23" i="32" s="1"/>
  <c r="Q17" i="32"/>
  <c r="Q24" i="32" s="1"/>
  <c r="P17" i="32"/>
  <c r="O17" i="32"/>
  <c r="N17" i="32"/>
  <c r="N24" i="32" s="1"/>
  <c r="M17" i="32"/>
  <c r="L17" i="32"/>
  <c r="K17" i="32"/>
  <c r="K24" i="32" s="1"/>
  <c r="J17" i="32"/>
  <c r="J23" i="32" s="1"/>
  <c r="I17" i="32"/>
  <c r="I21" i="32" s="1"/>
  <c r="H17" i="32"/>
  <c r="G17" i="32"/>
  <c r="F17" i="32"/>
  <c r="F24" i="32" s="1"/>
  <c r="E17" i="32"/>
  <c r="D17" i="32"/>
  <c r="D12" i="32"/>
  <c r="C12" i="32"/>
  <c r="U11" i="32"/>
  <c r="P11" i="32"/>
  <c r="O11" i="32"/>
  <c r="M11" i="32"/>
  <c r="H11" i="32"/>
  <c r="G11" i="32"/>
  <c r="V10" i="32"/>
  <c r="Q10" i="32"/>
  <c r="P10" i="32"/>
  <c r="N10" i="32"/>
  <c r="I10" i="32"/>
  <c r="H10" i="32"/>
  <c r="F10" i="32"/>
  <c r="Q9" i="32"/>
  <c r="O9" i="32"/>
  <c r="I9" i="32"/>
  <c r="G9" i="32"/>
  <c r="S8" i="32"/>
  <c r="P8" i="32"/>
  <c r="K8" i="32"/>
  <c r="H8" i="32"/>
  <c r="S7" i="32"/>
  <c r="Q7" i="32"/>
  <c r="K7" i="32"/>
  <c r="I7" i="32"/>
  <c r="V6" i="32"/>
  <c r="V9" i="32" s="1"/>
  <c r="U6" i="32"/>
  <c r="U10" i="32" s="1"/>
  <c r="T6" i="32"/>
  <c r="T11" i="32" s="1"/>
  <c r="S6" i="32"/>
  <c r="S11" i="32" s="1"/>
  <c r="R6" i="32"/>
  <c r="R8" i="32" s="1"/>
  <c r="Q6" i="32"/>
  <c r="Q12" i="32" s="1"/>
  <c r="P6" i="32"/>
  <c r="P12" i="32" s="1"/>
  <c r="O6" i="32"/>
  <c r="O7" i="32" s="1"/>
  <c r="N6" i="32"/>
  <c r="N9" i="32" s="1"/>
  <c r="M6" i="32"/>
  <c r="M10" i="32" s="1"/>
  <c r="L6" i="32"/>
  <c r="L11" i="32" s="1"/>
  <c r="K6" i="32"/>
  <c r="K11" i="32" s="1"/>
  <c r="J6" i="32"/>
  <c r="J9" i="32" s="1"/>
  <c r="I6" i="32"/>
  <c r="I12" i="32" s="1"/>
  <c r="H6" i="32"/>
  <c r="H12" i="32" s="1"/>
  <c r="G6" i="32"/>
  <c r="G7" i="32" s="1"/>
  <c r="F6" i="32"/>
  <c r="F9" i="32" s="1"/>
  <c r="E6" i="32"/>
  <c r="V5" i="32"/>
  <c r="U5" i="32"/>
  <c r="T5" i="32"/>
  <c r="S5" i="32"/>
  <c r="S9" i="32" s="1"/>
  <c r="R5" i="32"/>
  <c r="Q5" i="32"/>
  <c r="P5" i="32"/>
  <c r="P7" i="32" s="1"/>
  <c r="O5" i="32"/>
  <c r="O8" i="32" s="1"/>
  <c r="N5" i="32"/>
  <c r="M5" i="32"/>
  <c r="L5" i="32"/>
  <c r="K5" i="32"/>
  <c r="K9" i="32" s="1"/>
  <c r="J5" i="32"/>
  <c r="I5" i="32"/>
  <c r="H5" i="32"/>
  <c r="H7" i="32" s="1"/>
  <c r="G5" i="32"/>
  <c r="G8" i="32" s="1"/>
  <c r="F5" i="32"/>
  <c r="E5" i="32"/>
  <c r="D5" i="32"/>
  <c r="J12" i="32" l="1"/>
  <c r="R12" i="32"/>
  <c r="I20" i="32"/>
  <c r="Q20" i="32"/>
  <c r="G21" i="32"/>
  <c r="O21" i="32"/>
  <c r="M22" i="32"/>
  <c r="U22" i="32"/>
  <c r="G24" i="32"/>
  <c r="O24" i="32"/>
  <c r="J7" i="32"/>
  <c r="R7" i="32"/>
  <c r="I8" i="32"/>
  <c r="Q8" i="32"/>
  <c r="H9" i="32"/>
  <c r="P9" i="32"/>
  <c r="G10" i="32"/>
  <c r="O10" i="32"/>
  <c r="F11" i="32"/>
  <c r="N11" i="32"/>
  <c r="V11" i="32"/>
  <c r="K12" i="32"/>
  <c r="S12" i="32"/>
  <c r="L19" i="32"/>
  <c r="T19" i="32"/>
  <c r="J20" i="32"/>
  <c r="R20" i="32"/>
  <c r="H21" i="32"/>
  <c r="P21" i="32"/>
  <c r="L23" i="32"/>
  <c r="T23" i="32"/>
  <c r="H24" i="32"/>
  <c r="P24" i="32"/>
  <c r="Q21" i="32"/>
  <c r="M23" i="32"/>
  <c r="U23" i="32"/>
  <c r="T7" i="32"/>
  <c r="R9" i="32"/>
  <c r="M12" i="32"/>
  <c r="L8" i="32"/>
  <c r="R10" i="32"/>
  <c r="Q11" i="32"/>
  <c r="F12" i="32"/>
  <c r="O19" i="32"/>
  <c r="M20" i="32"/>
  <c r="U20" i="32"/>
  <c r="K21" i="32"/>
  <c r="Q22" i="32"/>
  <c r="G23" i="32"/>
  <c r="O23" i="32"/>
  <c r="S24" i="32"/>
  <c r="J21" i="32"/>
  <c r="R24" i="32"/>
  <c r="U7" i="32"/>
  <c r="T8" i="32"/>
  <c r="J10" i="32"/>
  <c r="V12" i="32"/>
  <c r="F7" i="32"/>
  <c r="N7" i="32"/>
  <c r="V7" i="32"/>
  <c r="M8" i="32"/>
  <c r="U8" i="32"/>
  <c r="L9" i="32"/>
  <c r="T9" i="32"/>
  <c r="K10" i="32"/>
  <c r="S10" i="32"/>
  <c r="J11" i="32"/>
  <c r="R11" i="32"/>
  <c r="G12" i="32"/>
  <c r="O12" i="32"/>
  <c r="H19" i="32"/>
  <c r="P19" i="32"/>
  <c r="F20" i="32"/>
  <c r="N20" i="32"/>
  <c r="V20" i="32"/>
  <c r="L21" i="32"/>
  <c r="T21" i="32"/>
  <c r="H23" i="32"/>
  <c r="P23" i="32"/>
  <c r="L24" i="32"/>
  <c r="T24" i="32"/>
  <c r="T12" i="32"/>
  <c r="G22" i="32"/>
  <c r="I24" i="32"/>
  <c r="U12" i="32"/>
  <c r="J24" i="32"/>
  <c r="M7" i="32"/>
  <c r="I11" i="32"/>
  <c r="N12" i="32"/>
  <c r="G19" i="32"/>
  <c r="I22" i="32"/>
  <c r="F8" i="32"/>
  <c r="N8" i="32"/>
  <c r="V8" i="32"/>
  <c r="M9" i="32"/>
  <c r="U9" i="32"/>
  <c r="L10" i="32"/>
  <c r="T10" i="32"/>
  <c r="I19" i="32"/>
  <c r="Q19" i="32"/>
  <c r="O20" i="32"/>
  <c r="M21" i="32"/>
  <c r="U21" i="32"/>
  <c r="M24" i="32"/>
  <c r="U24" i="32"/>
  <c r="J8" i="32"/>
  <c r="L12" i="32"/>
  <c r="L7" i="32"/>
  <c r="R21" i="32"/>
  <c r="H22" i="32"/>
  <c r="P22" i="32"/>
  <c r="J19" i="32"/>
  <c r="R19" i="32"/>
  <c r="F21" i="32"/>
  <c r="N21" i="32"/>
  <c r="V21" i="32"/>
  <c r="BG52" i="25" l="1"/>
  <c r="BQ68" i="25"/>
  <c r="BQ65" i="25"/>
  <c r="BQ62" i="25"/>
  <c r="BQ59" i="25"/>
  <c r="BQ56" i="25"/>
  <c r="B80" i="3" l="1"/>
  <c r="K7" i="27"/>
  <c r="K8" i="27"/>
  <c r="K9" i="27"/>
  <c r="K10" i="27"/>
  <c r="K11" i="27"/>
  <c r="K6" i="27"/>
  <c r="K5" i="27"/>
  <c r="C83" i="3"/>
  <c r="D83" i="3"/>
  <c r="E83" i="3"/>
  <c r="F83" i="3"/>
  <c r="G83" i="3"/>
  <c r="H83" i="3"/>
  <c r="I83" i="3"/>
  <c r="J83" i="3"/>
  <c r="K83" i="3"/>
  <c r="L83" i="3"/>
  <c r="M83" i="3"/>
  <c r="N83" i="3"/>
  <c r="O83" i="3"/>
  <c r="P83" i="3"/>
  <c r="Q83" i="3"/>
  <c r="R83" i="3"/>
  <c r="S83" i="3"/>
  <c r="T83" i="3"/>
  <c r="C84" i="3"/>
  <c r="D84" i="3"/>
  <c r="E84" i="3"/>
  <c r="F84" i="3"/>
  <c r="G84" i="3"/>
  <c r="H84" i="3"/>
  <c r="I84" i="3"/>
  <c r="J84" i="3"/>
  <c r="K84" i="3"/>
  <c r="L84" i="3"/>
  <c r="M84" i="3"/>
  <c r="N84" i="3"/>
  <c r="O84" i="3"/>
  <c r="P84" i="3"/>
  <c r="Q84" i="3"/>
  <c r="R84" i="3"/>
  <c r="S84" i="3"/>
  <c r="T84" i="3"/>
  <c r="C85" i="3"/>
  <c r="D85" i="3"/>
  <c r="E85" i="3"/>
  <c r="F85" i="3"/>
  <c r="G85" i="3"/>
  <c r="H85" i="3"/>
  <c r="I85" i="3"/>
  <c r="J85" i="3"/>
  <c r="K85" i="3"/>
  <c r="L85" i="3"/>
  <c r="M85" i="3"/>
  <c r="N85" i="3"/>
  <c r="O85" i="3"/>
  <c r="P85" i="3"/>
  <c r="Q85" i="3"/>
  <c r="R85" i="3"/>
  <c r="S85" i="3"/>
  <c r="T85" i="3"/>
  <c r="C86" i="3"/>
  <c r="D86" i="3"/>
  <c r="E86" i="3"/>
  <c r="F86" i="3"/>
  <c r="G86" i="3"/>
  <c r="H86" i="3"/>
  <c r="I86" i="3"/>
  <c r="J86" i="3"/>
  <c r="K86" i="3"/>
  <c r="L86" i="3"/>
  <c r="M86" i="3"/>
  <c r="N86" i="3"/>
  <c r="O86" i="3"/>
  <c r="P86" i="3"/>
  <c r="Q86" i="3"/>
  <c r="R86" i="3"/>
  <c r="S86" i="3"/>
  <c r="T86" i="3"/>
  <c r="C87" i="3"/>
  <c r="D87" i="3"/>
  <c r="E87" i="3"/>
  <c r="F87" i="3"/>
  <c r="G87" i="3"/>
  <c r="H87" i="3"/>
  <c r="I87" i="3"/>
  <c r="J87" i="3"/>
  <c r="K87" i="3"/>
  <c r="L87" i="3"/>
  <c r="M87" i="3"/>
  <c r="N87" i="3"/>
  <c r="O87" i="3"/>
  <c r="P87" i="3"/>
  <c r="Q87" i="3"/>
  <c r="R87" i="3"/>
  <c r="S87" i="3"/>
  <c r="T87" i="3"/>
  <c r="C88" i="3"/>
  <c r="D88" i="3"/>
  <c r="E88" i="3"/>
  <c r="F88" i="3"/>
  <c r="G88" i="3"/>
  <c r="H88" i="3"/>
  <c r="I88" i="3"/>
  <c r="J88" i="3"/>
  <c r="K88" i="3"/>
  <c r="L88" i="3"/>
  <c r="M88" i="3"/>
  <c r="N88" i="3"/>
  <c r="O88" i="3"/>
  <c r="P88" i="3"/>
  <c r="Q88" i="3"/>
  <c r="R88" i="3"/>
  <c r="S88" i="3"/>
  <c r="T88" i="3"/>
  <c r="C89" i="3"/>
  <c r="D89" i="3"/>
  <c r="E89" i="3"/>
  <c r="F89" i="3"/>
  <c r="G89" i="3"/>
  <c r="H89" i="3"/>
  <c r="I89" i="3"/>
  <c r="J89" i="3"/>
  <c r="K89" i="3"/>
  <c r="L89" i="3"/>
  <c r="M89" i="3"/>
  <c r="N89" i="3"/>
  <c r="O89" i="3"/>
  <c r="P89" i="3"/>
  <c r="Q89" i="3"/>
  <c r="R89" i="3"/>
  <c r="S89" i="3"/>
  <c r="T89" i="3"/>
  <c r="C90" i="3"/>
  <c r="D90" i="3"/>
  <c r="E90" i="3"/>
  <c r="F90" i="3"/>
  <c r="G90" i="3"/>
  <c r="H90" i="3"/>
  <c r="I90" i="3"/>
  <c r="J90" i="3"/>
  <c r="K90" i="3"/>
  <c r="L90" i="3"/>
  <c r="M90" i="3"/>
  <c r="N90" i="3"/>
  <c r="O90" i="3"/>
  <c r="P90" i="3"/>
  <c r="Q90" i="3"/>
  <c r="R90" i="3"/>
  <c r="S90" i="3"/>
  <c r="T90" i="3"/>
  <c r="C91" i="3"/>
  <c r="D91" i="3"/>
  <c r="E91" i="3"/>
  <c r="F91" i="3"/>
  <c r="G91" i="3"/>
  <c r="H91" i="3"/>
  <c r="I91" i="3"/>
  <c r="J91" i="3"/>
  <c r="K91" i="3"/>
  <c r="L91" i="3"/>
  <c r="M91" i="3"/>
  <c r="N91" i="3"/>
  <c r="O91" i="3"/>
  <c r="P91" i="3"/>
  <c r="Q91" i="3"/>
  <c r="R91" i="3"/>
  <c r="S91" i="3"/>
  <c r="T91" i="3"/>
  <c r="C92" i="3"/>
  <c r="D92" i="3"/>
  <c r="E92" i="3"/>
  <c r="F92" i="3"/>
  <c r="G92" i="3"/>
  <c r="H92" i="3"/>
  <c r="I92" i="3"/>
  <c r="J92" i="3"/>
  <c r="K92" i="3"/>
  <c r="L92" i="3"/>
  <c r="M92" i="3"/>
  <c r="N92" i="3"/>
  <c r="O92" i="3"/>
  <c r="P92" i="3"/>
  <c r="Q92" i="3"/>
  <c r="R92" i="3"/>
  <c r="S92" i="3"/>
  <c r="T92" i="3"/>
  <c r="B83" i="3"/>
  <c r="B84" i="3"/>
  <c r="B85" i="3"/>
  <c r="B86" i="3"/>
  <c r="B87" i="3"/>
  <c r="B88" i="3"/>
  <c r="B89" i="3"/>
  <c r="B90" i="3"/>
  <c r="B91" i="3"/>
  <c r="B92" i="3"/>
  <c r="B74" i="3"/>
  <c r="B75" i="3"/>
  <c r="B76" i="3"/>
  <c r="B77" i="3"/>
  <c r="B78" i="3"/>
  <c r="B79" i="3"/>
  <c r="B62" i="3"/>
  <c r="B72" i="3"/>
  <c r="B73" i="3"/>
  <c r="M74" i="3"/>
  <c r="M73" i="3"/>
  <c r="M75" i="3" l="1"/>
  <c r="M79" i="3"/>
  <c r="M77" i="3" l="1"/>
  <c r="M76" i="3"/>
  <c r="M80" i="3"/>
  <c r="M78" i="3"/>
  <c r="AF67" i="25"/>
  <c r="AF64" i="25"/>
  <c r="AF61" i="25"/>
  <c r="AF58" i="25"/>
  <c r="AF55" i="25"/>
  <c r="AF52" i="25"/>
  <c r="AF49" i="25"/>
  <c r="AF46" i="25"/>
  <c r="AF43" i="25"/>
  <c r="D52" i="25"/>
  <c r="B63" i="3"/>
  <c r="B64" i="3"/>
  <c r="C73" i="3"/>
  <c r="C63" i="3"/>
  <c r="D73" i="3"/>
  <c r="E73" i="3"/>
  <c r="F73" i="3"/>
  <c r="G73" i="3"/>
  <c r="H73" i="3"/>
  <c r="I73" i="3"/>
  <c r="J73" i="3"/>
  <c r="K73" i="3"/>
  <c r="L73" i="3"/>
  <c r="N73" i="3"/>
  <c r="O73" i="3"/>
  <c r="P73" i="3"/>
  <c r="Q73" i="3"/>
  <c r="R73" i="3"/>
  <c r="S73" i="3"/>
  <c r="T73" i="3"/>
  <c r="E74" i="3"/>
  <c r="I74" i="3"/>
  <c r="J74" i="3"/>
  <c r="Q74" i="3"/>
  <c r="D64" i="3"/>
  <c r="E64" i="3"/>
  <c r="F64" i="3"/>
  <c r="G64" i="3"/>
  <c r="H64" i="3"/>
  <c r="I64" i="3"/>
  <c r="J64" i="3"/>
  <c r="K64" i="3"/>
  <c r="L64" i="3"/>
  <c r="M64" i="3"/>
  <c r="N64" i="3"/>
  <c r="O64" i="3"/>
  <c r="P64" i="3"/>
  <c r="Q64" i="3"/>
  <c r="R64" i="3"/>
  <c r="S64" i="3"/>
  <c r="T64" i="3"/>
  <c r="C64" i="3"/>
  <c r="D63" i="3"/>
  <c r="E63" i="3"/>
  <c r="F63" i="3"/>
  <c r="G63" i="3"/>
  <c r="H63" i="3"/>
  <c r="I63" i="3"/>
  <c r="J63" i="3"/>
  <c r="K63" i="3"/>
  <c r="L63" i="3"/>
  <c r="M63" i="3"/>
  <c r="N63" i="3"/>
  <c r="O63" i="3"/>
  <c r="P63" i="3"/>
  <c r="Q63" i="3"/>
  <c r="R63" i="3"/>
  <c r="S63" i="3"/>
  <c r="T63" i="3"/>
  <c r="O77" i="3" l="1"/>
  <c r="O74" i="3"/>
  <c r="F77" i="3"/>
  <c r="F74" i="3"/>
  <c r="F80" i="3"/>
  <c r="N77" i="3"/>
  <c r="N74" i="3"/>
  <c r="C80" i="3"/>
  <c r="C74" i="3"/>
  <c r="L78" i="3"/>
  <c r="L74" i="3"/>
  <c r="D78" i="3"/>
  <c r="D74" i="3"/>
  <c r="T78" i="3"/>
  <c r="T74" i="3"/>
  <c r="K75" i="3"/>
  <c r="K74" i="3"/>
  <c r="S80" i="3"/>
  <c r="S74" i="3"/>
  <c r="R79" i="3"/>
  <c r="R74" i="3"/>
  <c r="H76" i="3"/>
  <c r="H74" i="3"/>
  <c r="P76" i="3"/>
  <c r="P74" i="3"/>
  <c r="G77" i="3"/>
  <c r="G74" i="3"/>
  <c r="J79" i="3"/>
  <c r="C78" i="3"/>
  <c r="E79" i="3"/>
  <c r="K79" i="3"/>
  <c r="T75" i="3"/>
  <c r="Q75" i="3"/>
  <c r="I75" i="3"/>
  <c r="R80" i="3"/>
  <c r="J75" i="3"/>
  <c r="L75" i="3"/>
  <c r="S78" i="3"/>
  <c r="P75" i="3"/>
  <c r="H75" i="3"/>
  <c r="K80" i="3"/>
  <c r="S76" i="3"/>
  <c r="D75" i="3"/>
  <c r="K76" i="3"/>
  <c r="K78" i="3"/>
  <c r="C79" i="3"/>
  <c r="E78" i="3"/>
  <c r="S79" i="3"/>
  <c r="O80" i="3"/>
  <c r="Q79" i="3"/>
  <c r="O76" i="3"/>
  <c r="O75" i="3"/>
  <c r="G75" i="3"/>
  <c r="N80" i="3"/>
  <c r="P79" i="3"/>
  <c r="H79" i="3"/>
  <c r="R78" i="3"/>
  <c r="J78" i="3"/>
  <c r="T77" i="3"/>
  <c r="L77" i="3"/>
  <c r="D77" i="3"/>
  <c r="N76" i="3"/>
  <c r="F76" i="3"/>
  <c r="N75" i="3"/>
  <c r="F75" i="3"/>
  <c r="E80" i="3"/>
  <c r="O79" i="3"/>
  <c r="G79" i="3"/>
  <c r="Q78" i="3"/>
  <c r="I78" i="3"/>
  <c r="S77" i="3"/>
  <c r="K77" i="3"/>
  <c r="C77" i="3"/>
  <c r="E76" i="3"/>
  <c r="G80" i="3"/>
  <c r="I79" i="3"/>
  <c r="E77" i="3"/>
  <c r="G76" i="3"/>
  <c r="C75" i="3"/>
  <c r="E75" i="3"/>
  <c r="L80" i="3"/>
  <c r="D80" i="3"/>
  <c r="N79" i="3"/>
  <c r="F79" i="3"/>
  <c r="P78" i="3"/>
  <c r="H78" i="3"/>
  <c r="R77" i="3"/>
  <c r="J77" i="3"/>
  <c r="T76" i="3"/>
  <c r="L76" i="3"/>
  <c r="D76" i="3"/>
  <c r="O78" i="3"/>
  <c r="G78" i="3"/>
  <c r="Q77" i="3"/>
  <c r="I77" i="3"/>
  <c r="C76" i="3"/>
  <c r="S75" i="3"/>
  <c r="J80" i="3"/>
  <c r="T79" i="3"/>
  <c r="L79" i="3"/>
  <c r="D79" i="3"/>
  <c r="N78" i="3"/>
  <c r="F78" i="3"/>
  <c r="P77" i="3"/>
  <c r="H77" i="3"/>
  <c r="R76" i="3"/>
  <c r="J76" i="3"/>
  <c r="T80" i="3"/>
  <c r="R75" i="3"/>
  <c r="I80" i="3"/>
  <c r="Q76" i="3"/>
  <c r="I76" i="3"/>
  <c r="Q80" i="3"/>
  <c r="P80" i="3"/>
  <c r="H80" i="3"/>
  <c r="Q70" i="3"/>
  <c r="H6" i="27"/>
  <c r="H7" i="27"/>
  <c r="H8" i="27"/>
  <c r="H9" i="27"/>
  <c r="Q29" i="25" l="1"/>
  <c r="Q31" i="25"/>
  <c r="Q10" i="25"/>
  <c r="O17" i="25"/>
  <c r="K40" i="25" s="1"/>
  <c r="G19" i="25"/>
  <c r="AF23" i="25" l="1"/>
  <c r="AF22" i="25"/>
  <c r="Q30" i="25"/>
  <c r="AF24" i="25"/>
  <c r="AF25" i="25" s="1"/>
  <c r="AF29" i="25" s="1"/>
  <c r="AF27" i="25" s="1"/>
  <c r="AF31" i="25" s="1"/>
  <c r="F14" i="27" l="1"/>
  <c r="K28" i="27"/>
  <c r="K27" i="27"/>
  <c r="I27" i="27"/>
  <c r="I28" i="27"/>
  <c r="H28" i="27"/>
  <c r="H27" i="27"/>
  <c r="H26" i="27"/>
  <c r="F24" i="27"/>
  <c r="C23" i="27"/>
  <c r="C24" i="27"/>
  <c r="D22" i="27"/>
  <c r="D23" i="27"/>
  <c r="G6" i="27"/>
  <c r="G7" i="27"/>
  <c r="G8" i="27"/>
  <c r="G9" i="27"/>
  <c r="G10" i="27"/>
  <c r="G11" i="27"/>
  <c r="G5" i="27"/>
  <c r="J13" i="27" l="1"/>
  <c r="J14" i="27"/>
  <c r="J12" i="27"/>
  <c r="J11" i="27"/>
  <c r="J10" i="27"/>
  <c r="F29" i="25"/>
  <c r="AF16" i="25"/>
  <c r="AF15" i="25"/>
  <c r="AF26" i="25" l="1"/>
  <c r="AF30" i="25" s="1"/>
  <c r="AF28" i="25" s="1"/>
  <c r="AF32" i="25" s="1"/>
  <c r="E31" i="25" s="1"/>
  <c r="F31" i="25" s="1"/>
  <c r="M70" i="3" l="1"/>
  <c r="B70" i="3"/>
  <c r="AF17" i="25" l="1"/>
  <c r="AC90" i="25"/>
  <c r="E20" i="25"/>
  <c r="E22" i="25" s="1"/>
  <c r="AF20" i="25" l="1"/>
  <c r="H16" i="25"/>
  <c r="F70" i="3"/>
  <c r="H70" i="3"/>
  <c r="O70" i="3"/>
  <c r="J11" i="25"/>
  <c r="G70" i="3"/>
  <c r="E70" i="3" l="1"/>
  <c r="D70" i="3"/>
  <c r="L70" i="3"/>
  <c r="N70" i="3"/>
  <c r="T70" i="3"/>
  <c r="K70" i="3"/>
  <c r="S70" i="3"/>
  <c r="J70" i="3"/>
  <c r="R70" i="3"/>
  <c r="I70" i="3"/>
  <c r="P70" i="3"/>
  <c r="J29" i="27"/>
  <c r="J20" i="27"/>
  <c r="J21" i="27"/>
  <c r="J22" i="27"/>
  <c r="J23" i="27"/>
  <c r="J24" i="27"/>
  <c r="J25" i="27"/>
  <c r="J26" i="27"/>
  <c r="J27" i="27"/>
  <c r="J19" i="27"/>
  <c r="K20" i="27"/>
  <c r="K21" i="27"/>
  <c r="K22" i="27"/>
  <c r="K23" i="27"/>
  <c r="K24" i="27"/>
  <c r="K25" i="27"/>
  <c r="K26" i="27"/>
  <c r="K19" i="27"/>
  <c r="I20" i="27"/>
  <c r="I21" i="27"/>
  <c r="I22" i="27"/>
  <c r="I23" i="27"/>
  <c r="I24" i="27"/>
  <c r="I25" i="27"/>
  <c r="I26" i="27"/>
  <c r="I19" i="27"/>
  <c r="H24" i="27"/>
  <c r="H25" i="27"/>
  <c r="H20" i="27"/>
  <c r="H21" i="27"/>
  <c r="H22" i="27"/>
  <c r="H23" i="27"/>
  <c r="H19" i="27"/>
  <c r="G20" i="27"/>
  <c r="G21" i="27"/>
  <c r="G22" i="27"/>
  <c r="G23" i="27"/>
  <c r="G19" i="27"/>
  <c r="F20" i="27"/>
  <c r="F21" i="27"/>
  <c r="F22" i="27"/>
  <c r="F23" i="27"/>
  <c r="F19" i="27"/>
  <c r="I13" i="27"/>
  <c r="CS15" i="25"/>
  <c r="CS20" i="25"/>
  <c r="CS19" i="25"/>
  <c r="CS18" i="25"/>
  <c r="CS17" i="25"/>
  <c r="CS16" i="25"/>
  <c r="CJ19" i="25"/>
  <c r="CJ20" i="25"/>
  <c r="CJ21" i="25"/>
  <c r="CJ22" i="25"/>
  <c r="BO58" i="25"/>
  <c r="BO59" i="25"/>
  <c r="BO61" i="25"/>
  <c r="BO62" i="25"/>
  <c r="BO64" i="25"/>
  <c r="BO65" i="25"/>
  <c r="BO67" i="25"/>
  <c r="BO68" i="25"/>
  <c r="BP58" i="25"/>
  <c r="BP59" i="25"/>
  <c r="BP61" i="25"/>
  <c r="BP62" i="25"/>
  <c r="BP64" i="25"/>
  <c r="BP65" i="25"/>
  <c r="BP67" i="25"/>
  <c r="BP68" i="25"/>
  <c r="BQ58" i="25"/>
  <c r="BQ61" i="25"/>
  <c r="BQ64" i="25"/>
  <c r="BQ67" i="25"/>
  <c r="BR58" i="25"/>
  <c r="BR59" i="25"/>
  <c r="BR61" i="25"/>
  <c r="BR62" i="25"/>
  <c r="BR64" i="25"/>
  <c r="BR65" i="25"/>
  <c r="BR67" i="25"/>
  <c r="BR68" i="25"/>
  <c r="BS58" i="25"/>
  <c r="BS59" i="25"/>
  <c r="BS61" i="25"/>
  <c r="BS62" i="25"/>
  <c r="BS64" i="25"/>
  <c r="BS65" i="25"/>
  <c r="BS67" i="25"/>
  <c r="BS68" i="25"/>
  <c r="BT58" i="25"/>
  <c r="BT59" i="25"/>
  <c r="BT61" i="25"/>
  <c r="BT62" i="25"/>
  <c r="BT64" i="25"/>
  <c r="BT65" i="25"/>
  <c r="BT67" i="25"/>
  <c r="BT68" i="25"/>
  <c r="BL67" i="25"/>
  <c r="BK67" i="25"/>
  <c r="BJ67" i="25"/>
  <c r="BI67" i="25"/>
  <c r="BH67" i="25"/>
  <c r="BG67" i="25"/>
  <c r="BF67" i="25"/>
  <c r="BE67" i="25"/>
  <c r="BD67" i="25"/>
  <c r="BC67" i="25"/>
  <c r="BL64" i="25"/>
  <c r="BK64" i="25"/>
  <c r="BJ64" i="25"/>
  <c r="BI64" i="25"/>
  <c r="BH64" i="25"/>
  <c r="BG64" i="25"/>
  <c r="BF64" i="25"/>
  <c r="BE64" i="25"/>
  <c r="BD64" i="25"/>
  <c r="BC64" i="25"/>
  <c r="BK61" i="25"/>
  <c r="BI61" i="25"/>
  <c r="BG61" i="25"/>
  <c r="BE61" i="25"/>
  <c r="BC61" i="25"/>
  <c r="BK58" i="25"/>
  <c r="BI58" i="25"/>
  <c r="BG58" i="25"/>
  <c r="BE58" i="25"/>
  <c r="BC58" i="25"/>
  <c r="AZ67" i="25"/>
  <c r="AY67" i="25"/>
  <c r="AZ64" i="25"/>
  <c r="AY64" i="25"/>
  <c r="AZ61" i="25"/>
  <c r="AY61" i="25"/>
  <c r="AZ58" i="25"/>
  <c r="AY58" i="25"/>
  <c r="BN67" i="25"/>
  <c r="BN64" i="25"/>
  <c r="BN61" i="25"/>
  <c r="BN58" i="25"/>
  <c r="C70" i="3" l="1"/>
  <c r="BN68" i="25"/>
  <c r="BN65" i="25"/>
  <c r="BN62" i="25"/>
  <c r="BN59" i="25"/>
  <c r="BL68" i="25"/>
  <c r="BK68" i="25"/>
  <c r="BJ68" i="25"/>
  <c r="BI68" i="25"/>
  <c r="BH68" i="25"/>
  <c r="BG68" i="25"/>
  <c r="BF68" i="25"/>
  <c r="BE68" i="25"/>
  <c r="BD68" i="25"/>
  <c r="BC68" i="25"/>
  <c r="BL65" i="25"/>
  <c r="BK65" i="25"/>
  <c r="BJ65" i="25"/>
  <c r="BI65" i="25"/>
  <c r="BH65" i="25"/>
  <c r="BG65" i="25"/>
  <c r="BF65" i="25"/>
  <c r="BE65" i="25"/>
  <c r="BD65" i="25"/>
  <c r="BC65" i="25"/>
  <c r="BL62" i="25"/>
  <c r="BK62" i="25"/>
  <c r="BJ62" i="25"/>
  <c r="BI62" i="25"/>
  <c r="BH62" i="25"/>
  <c r="BG62" i="25"/>
  <c r="BF62" i="25"/>
  <c r="BE62" i="25"/>
  <c r="BD62" i="25"/>
  <c r="BC62" i="25"/>
  <c r="BK59" i="25"/>
  <c r="BI59" i="25"/>
  <c r="BG59" i="25"/>
  <c r="BE59" i="25"/>
  <c r="BC59" i="25"/>
  <c r="AZ68" i="25"/>
  <c r="AY68" i="25"/>
  <c r="BZ68" i="25" s="1"/>
  <c r="AZ65" i="25"/>
  <c r="AY65" i="25"/>
  <c r="BZ65" i="25" s="1"/>
  <c r="AZ62" i="25"/>
  <c r="AY62" i="25"/>
  <c r="BZ62" i="25" s="1"/>
  <c r="AZ59" i="25"/>
  <c r="AY59" i="25"/>
  <c r="BZ59" i="25" s="1"/>
  <c r="J6" i="27"/>
  <c r="J7" i="27"/>
  <c r="J8" i="27"/>
  <c r="J9" i="27"/>
  <c r="J5" i="27"/>
  <c r="X35" i="32" l="1"/>
  <c r="X37" i="32"/>
  <c r="X38" i="32"/>
  <c r="X39" i="32"/>
  <c r="X40" i="32"/>
  <c r="X41" i="32"/>
  <c r="X34" i="32"/>
  <c r="B66" i="3"/>
  <c r="C66" i="3"/>
  <c r="D66" i="3"/>
  <c r="E66" i="3"/>
  <c r="F66" i="3"/>
  <c r="G66" i="3"/>
  <c r="H66" i="3"/>
  <c r="I66" i="3"/>
  <c r="J66" i="3"/>
  <c r="K66" i="3"/>
  <c r="L66" i="3"/>
  <c r="M66" i="3"/>
  <c r="N66" i="3"/>
  <c r="O66" i="3"/>
  <c r="P66" i="3"/>
  <c r="Q66" i="3"/>
  <c r="R66" i="3"/>
  <c r="S66" i="3"/>
  <c r="T66" i="3"/>
  <c r="B67" i="3"/>
  <c r="C67" i="3"/>
  <c r="D67" i="3"/>
  <c r="E67" i="3"/>
  <c r="F67" i="3"/>
  <c r="G67" i="3"/>
  <c r="H67" i="3"/>
  <c r="I67" i="3"/>
  <c r="J67" i="3"/>
  <c r="K67" i="3"/>
  <c r="L67" i="3"/>
  <c r="M67" i="3"/>
  <c r="N67" i="3"/>
  <c r="O67" i="3"/>
  <c r="P67" i="3"/>
  <c r="Q67" i="3"/>
  <c r="R67" i="3"/>
  <c r="S67" i="3"/>
  <c r="T67" i="3"/>
  <c r="B68" i="3"/>
  <c r="C68" i="3"/>
  <c r="D68" i="3"/>
  <c r="E68" i="3"/>
  <c r="F68" i="3"/>
  <c r="G68" i="3"/>
  <c r="H68" i="3"/>
  <c r="I68" i="3"/>
  <c r="J68" i="3"/>
  <c r="K68" i="3"/>
  <c r="L68" i="3"/>
  <c r="M68" i="3"/>
  <c r="N68" i="3"/>
  <c r="O68" i="3"/>
  <c r="P68" i="3"/>
  <c r="Q68" i="3"/>
  <c r="R68" i="3"/>
  <c r="S68" i="3"/>
  <c r="T68" i="3"/>
  <c r="B69" i="3"/>
  <c r="C69" i="3"/>
  <c r="D69" i="3"/>
  <c r="E69" i="3"/>
  <c r="F69" i="3"/>
  <c r="G69" i="3"/>
  <c r="H69" i="3"/>
  <c r="I69" i="3"/>
  <c r="J69" i="3"/>
  <c r="K69" i="3"/>
  <c r="L69" i="3"/>
  <c r="M69" i="3"/>
  <c r="N69" i="3"/>
  <c r="O69" i="3"/>
  <c r="P69" i="3"/>
  <c r="Q69" i="3"/>
  <c r="R69" i="3"/>
  <c r="S69" i="3"/>
  <c r="T69" i="3"/>
  <c r="D11" i="27" l="1"/>
  <c r="D10" i="27"/>
  <c r="AD79" i="25" l="1"/>
  <c r="AB79" i="25"/>
  <c r="D14" i="27" l="1"/>
  <c r="CM15" i="25" l="1"/>
  <c r="CM14" i="25"/>
  <c r="CM13" i="25"/>
  <c r="CM12" i="25"/>
  <c r="CI12" i="3" l="1"/>
  <c r="CJ7" i="25" l="1"/>
  <c r="D46" i="25" l="1"/>
  <c r="E40" i="25" l="1"/>
  <c r="BN41" i="25" l="1"/>
  <c r="D67" i="25" l="1"/>
  <c r="D64" i="25"/>
  <c r="D61" i="25"/>
  <c r="D58" i="25"/>
  <c r="D55" i="25"/>
  <c r="BK40" i="25" l="1"/>
  <c r="BI40" i="25"/>
  <c r="AZ40" i="25"/>
  <c r="AW40" i="25"/>
  <c r="J40" i="25" s="1"/>
  <c r="BG40" i="25"/>
  <c r="BE40" i="25"/>
  <c r="BC40" i="25"/>
  <c r="BQ40" i="25"/>
  <c r="BT40" i="25"/>
  <c r="BO40" i="25"/>
  <c r="BS40" i="25"/>
  <c r="BN40" i="25"/>
  <c r="BR40" i="25"/>
  <c r="BP40" i="25"/>
  <c r="AX40" i="25" l="1"/>
  <c r="M40" i="25" s="1"/>
  <c r="AQ49" i="25"/>
  <c r="AQ43" i="25"/>
  <c r="AQ46" i="25"/>
  <c r="Q7" i="25"/>
  <c r="J67" i="25"/>
  <c r="J64" i="25"/>
  <c r="J61" i="25"/>
  <c r="J58" i="25"/>
  <c r="J55" i="25"/>
  <c r="J52" i="25"/>
  <c r="J49" i="25"/>
  <c r="J46" i="25"/>
  <c r="J43" i="25"/>
  <c r="CO7" i="25" l="1"/>
  <c r="CP7" i="25" s="1"/>
  <c r="CJ13" i="25"/>
  <c r="CK13" i="25" s="1"/>
  <c r="CJ11" i="25"/>
  <c r="AD5" i="25" s="1"/>
  <c r="CO8" i="25" l="1"/>
  <c r="CP8" i="25" s="1"/>
  <c r="CO9" i="25"/>
  <c r="CP9" i="25" s="1"/>
  <c r="AD8" i="25"/>
  <c r="CK11" i="25"/>
  <c r="W17" i="25" l="1"/>
  <c r="AF14" i="25"/>
  <c r="Z84" i="25" l="1"/>
  <c r="Z79" i="25"/>
  <c r="AW52" i="25" l="1"/>
  <c r="C65" i="3"/>
  <c r="D65" i="3"/>
  <c r="E65" i="3"/>
  <c r="F65" i="3"/>
  <c r="BE46" i="25" s="1"/>
  <c r="G65" i="3"/>
  <c r="BG46" i="25" s="1"/>
  <c r="H65" i="3"/>
  <c r="I65" i="3"/>
  <c r="J65" i="3"/>
  <c r="K65" i="3"/>
  <c r="L65" i="3"/>
  <c r="M65" i="3"/>
  <c r="N65" i="3"/>
  <c r="O65" i="3"/>
  <c r="BO46" i="25" s="1"/>
  <c r="P65" i="3"/>
  <c r="Q65" i="3"/>
  <c r="R65" i="3"/>
  <c r="S65" i="3"/>
  <c r="T65" i="3"/>
  <c r="B65" i="3"/>
  <c r="AY49" i="25"/>
  <c r="R68" i="25"/>
  <c r="R65" i="25"/>
  <c r="R62" i="25"/>
  <c r="R59" i="25"/>
  <c r="R56" i="25"/>
  <c r="R53" i="25"/>
  <c r="R50" i="25"/>
  <c r="R47" i="25"/>
  <c r="R44" i="25"/>
  <c r="N68" i="25"/>
  <c r="N65" i="25"/>
  <c r="N62" i="25"/>
  <c r="N59" i="25"/>
  <c r="N56" i="25"/>
  <c r="N53" i="25"/>
  <c r="N50" i="25"/>
  <c r="N47" i="25"/>
  <c r="N44" i="25"/>
  <c r="D49" i="25"/>
  <c r="D43" i="25"/>
  <c r="I10" i="27"/>
  <c r="I9" i="27"/>
  <c r="I8" i="27"/>
  <c r="I7" i="27"/>
  <c r="I6" i="27"/>
  <c r="I5" i="27"/>
  <c r="F12" i="27"/>
  <c r="F11" i="27"/>
  <c r="F10" i="27"/>
  <c r="F9" i="27"/>
  <c r="F8" i="27"/>
  <c r="F7" i="27"/>
  <c r="F6" i="27"/>
  <c r="F5" i="27"/>
  <c r="C11" i="27"/>
  <c r="C10" i="27"/>
  <c r="C9" i="27"/>
  <c r="C8" i="27"/>
  <c r="BX46" i="25" l="1"/>
  <c r="BX43" i="25"/>
  <c r="BQ50" i="25"/>
  <c r="BQ47" i="25"/>
  <c r="BQ43" i="25"/>
  <c r="BQ49" i="25"/>
  <c r="BQ46" i="25"/>
  <c r="AY43" i="25"/>
  <c r="BS50" i="25"/>
  <c r="BT50" i="25"/>
  <c r="BO50" i="25"/>
  <c r="BP50" i="25"/>
  <c r="BR50" i="25"/>
  <c r="AY50" i="25"/>
  <c r="BZ50" i="25" s="1"/>
  <c r="BK50" i="25"/>
  <c r="BI50" i="25"/>
  <c r="AZ50" i="25"/>
  <c r="BG50" i="25"/>
  <c r="BE50" i="25"/>
  <c r="BN50" i="25"/>
  <c r="BC50" i="25"/>
  <c r="BI47" i="25"/>
  <c r="BP47" i="25"/>
  <c r="BT47" i="25"/>
  <c r="BC47" i="25"/>
  <c r="AZ47" i="25"/>
  <c r="BK47" i="25"/>
  <c r="BG47" i="25"/>
  <c r="BO47" i="25"/>
  <c r="BE47" i="25"/>
  <c r="BP46" i="25"/>
  <c r="BT46" i="25"/>
  <c r="BK46" i="25"/>
  <c r="BI46" i="25"/>
  <c r="AY53" i="25"/>
  <c r="BZ53" i="25" s="1"/>
  <c r="BS56" i="25"/>
  <c r="BT53" i="25"/>
  <c r="BQ53" i="25"/>
  <c r="BO53" i="25"/>
  <c r="BO56" i="25"/>
  <c r="BR53" i="25"/>
  <c r="BR56" i="25"/>
  <c r="BP53" i="25"/>
  <c r="BP56" i="25"/>
  <c r="BS53" i="25"/>
  <c r="BT56" i="25"/>
  <c r="BI53" i="25"/>
  <c r="AZ56" i="25"/>
  <c r="BN53" i="25"/>
  <c r="BG53" i="25"/>
  <c r="AY56" i="25"/>
  <c r="BZ56" i="25" s="1"/>
  <c r="BK56" i="25"/>
  <c r="BE53" i="25"/>
  <c r="BG56" i="25"/>
  <c r="BI56" i="25"/>
  <c r="BC56" i="25"/>
  <c r="BN56" i="25"/>
  <c r="BE56" i="25"/>
  <c r="BK53" i="25"/>
  <c r="BK55" i="25"/>
  <c r="AZ55" i="25"/>
  <c r="AY55" i="25"/>
  <c r="BS55" i="25"/>
  <c r="BI55" i="25"/>
  <c r="BT55" i="25"/>
  <c r="BP55" i="25"/>
  <c r="BO55" i="25"/>
  <c r="BR55" i="25"/>
  <c r="BQ55" i="25"/>
  <c r="BG55" i="25"/>
  <c r="BE55" i="25"/>
  <c r="BC55" i="25"/>
  <c r="BN55" i="25"/>
  <c r="BC46" i="25"/>
  <c r="BC53" i="25"/>
  <c r="AZ46" i="25"/>
  <c r="AZ53" i="25"/>
  <c r="AY46" i="25"/>
  <c r="AY47" i="25"/>
  <c r="BZ47" i="25" s="1"/>
  <c r="BR46" i="25"/>
  <c r="BR47" i="25"/>
  <c r="BN46" i="25"/>
  <c r="BN47" i="25"/>
  <c r="BS46" i="25"/>
  <c r="BS47" i="25"/>
  <c r="BE52" i="25"/>
  <c r="BC52" i="25"/>
  <c r="BR52" i="25"/>
  <c r="BT52" i="25"/>
  <c r="AZ52" i="25"/>
  <c r="BP52" i="25"/>
  <c r="AY52" i="25"/>
  <c r="BQ52" i="25"/>
  <c r="BK52" i="25"/>
  <c r="BS52" i="25"/>
  <c r="BI52" i="25"/>
  <c r="BN52" i="25"/>
  <c r="BO52" i="25"/>
  <c r="BP44" i="25"/>
  <c r="BT44" i="25"/>
  <c r="BK49" i="25"/>
  <c r="BN49" i="25"/>
  <c r="BI49" i="25"/>
  <c r="BO49" i="25"/>
  <c r="BS49" i="25"/>
  <c r="BN43" i="25"/>
  <c r="BQ44" i="25"/>
  <c r="BG49" i="25"/>
  <c r="BP49" i="25"/>
  <c r="BR43" i="25"/>
  <c r="BT49" i="25"/>
  <c r="BE49" i="25"/>
  <c r="BR44" i="25"/>
  <c r="BC49" i="25"/>
  <c r="BO43" i="25"/>
  <c r="BS43" i="25"/>
  <c r="BO44" i="25"/>
  <c r="BS44" i="25"/>
  <c r="AZ49" i="25"/>
  <c r="BP43" i="25"/>
  <c r="BR49" i="25"/>
  <c r="BT43" i="25"/>
  <c r="BK43" i="25"/>
  <c r="BI43" i="25"/>
  <c r="BN44" i="25"/>
  <c r="BG43" i="25"/>
  <c r="BK44" i="25"/>
  <c r="BE43" i="25"/>
  <c r="BC43" i="25"/>
  <c r="AZ43" i="25"/>
  <c r="BI44" i="25"/>
  <c r="BG44" i="25"/>
  <c r="AZ44" i="25"/>
  <c r="BC44" i="25"/>
  <c r="BE44" i="25"/>
  <c r="AY44" i="25"/>
  <c r="BZ44" i="25" s="1"/>
  <c r="R58" i="25"/>
  <c r="R52" i="25"/>
  <c r="R61" i="25"/>
  <c r="R49" i="25"/>
  <c r="R55" i="25"/>
  <c r="R46" i="25"/>
  <c r="R64" i="25"/>
  <c r="R43" i="25"/>
  <c r="R67" i="25"/>
  <c r="AN61" i="25" l="1"/>
  <c r="AN58" i="25"/>
  <c r="C14" i="27" l="1"/>
  <c r="C15" i="27"/>
  <c r="G24" i="27"/>
  <c r="E23" i="27"/>
  <c r="BK41" i="25" l="1"/>
  <c r="P40" i="25"/>
  <c r="BC41" i="25"/>
  <c r="BG41" i="25"/>
  <c r="AZ41" i="25"/>
  <c r="BI41" i="25"/>
  <c r="BE41" i="25"/>
  <c r="I11" i="27"/>
  <c r="I12" i="27"/>
  <c r="F13" i="27"/>
  <c r="E14" i="27"/>
  <c r="E15" i="27"/>
  <c r="D16" i="27"/>
  <c r="E20" i="27"/>
  <c r="E21" i="27"/>
  <c r="E22" i="27"/>
  <c r="E19" i="27"/>
  <c r="AQ67" i="25" l="1"/>
  <c r="AQ64" i="25"/>
  <c r="AQ61" i="25"/>
  <c r="AQ58" i="25"/>
  <c r="AQ55" i="25"/>
  <c r="AQ52" i="25"/>
  <c r="AN67" i="25"/>
  <c r="AN64" i="25"/>
  <c r="AN55" i="25"/>
  <c r="AN52" i="25"/>
  <c r="AN49" i="25"/>
  <c r="AN46" i="25"/>
  <c r="AN43" i="25"/>
  <c r="Q9" i="25"/>
  <c r="Z92" i="25" l="1"/>
  <c r="AU40" i="25" l="1"/>
  <c r="AU67" i="25"/>
  <c r="AU64" i="25"/>
  <c r="AU61" i="25"/>
  <c r="AU58" i="25"/>
  <c r="AU55" i="25"/>
  <c r="AU52" i="25"/>
  <c r="AU49" i="25"/>
  <c r="AU46" i="25"/>
  <c r="AW43" i="25" l="1"/>
  <c r="P67" i="25"/>
  <c r="AV68" i="25" s="1"/>
  <c r="P64" i="25"/>
  <c r="AV65" i="25" s="1"/>
  <c r="P61" i="25"/>
  <c r="AV62" i="25" s="1"/>
  <c r="P58" i="25"/>
  <c r="AV59" i="25" s="1"/>
  <c r="P55" i="25"/>
  <c r="AV56" i="25" s="1"/>
  <c r="P52" i="25"/>
  <c r="AV53" i="25" s="1"/>
  <c r="P49" i="25"/>
  <c r="P43" i="25"/>
  <c r="P46" i="25"/>
  <c r="L43" i="25"/>
  <c r="L67" i="25"/>
  <c r="AV67" i="25" s="1"/>
  <c r="L64" i="25"/>
  <c r="AV64" i="25" s="1"/>
  <c r="L61" i="25"/>
  <c r="AV61" i="25" s="1"/>
  <c r="L58" i="25"/>
  <c r="AV58" i="25" s="1"/>
  <c r="L55" i="25"/>
  <c r="AV55" i="25" s="1"/>
  <c r="L52" i="25"/>
  <c r="AV52" i="25" s="1"/>
  <c r="L49" i="25"/>
  <c r="L46" i="25"/>
  <c r="AV46" i="25" s="1"/>
  <c r="AV43" i="25" l="1"/>
  <c r="AV47" i="25"/>
  <c r="AV50" i="25"/>
  <c r="AV44" i="25"/>
  <c r="AV49" i="25"/>
  <c r="K72" i="25"/>
  <c r="O72" i="25"/>
  <c r="C22" i="27" l="1"/>
  <c r="C21" i="27"/>
  <c r="C20" i="27"/>
  <c r="C19" i="27"/>
  <c r="Q3" i="25"/>
  <c r="N43" i="25" l="1"/>
  <c r="AW44" i="25"/>
  <c r="AW41" i="25" l="1"/>
  <c r="L40" i="25" l="1"/>
  <c r="K71" i="25" s="1"/>
  <c r="AV41" i="25"/>
  <c r="O71" i="25"/>
  <c r="CJ27" i="25"/>
  <c r="CJ8" i="25"/>
  <c r="CK8" i="25" l="1"/>
  <c r="AV40" i="25"/>
  <c r="AD6" i="25"/>
  <c r="AU43" i="25"/>
  <c r="BV40" i="25" l="1"/>
  <c r="BX68" i="25" l="1"/>
  <c r="BX67" i="25"/>
  <c r="BX65" i="25"/>
  <c r="BX64" i="25"/>
  <c r="BX62" i="25"/>
  <c r="BX61" i="25"/>
  <c r="BX59" i="25"/>
  <c r="BX58" i="25"/>
  <c r="BX56" i="25"/>
  <c r="BX55" i="25"/>
  <c r="BX53" i="25"/>
  <c r="BX52" i="25"/>
  <c r="BX50" i="25"/>
  <c r="BX49" i="25"/>
  <c r="BX47" i="25"/>
  <c r="BX44" i="25" l="1"/>
  <c r="AL67" i="25"/>
  <c r="AW68" i="25"/>
  <c r="AX68" i="25" s="1"/>
  <c r="Q67" i="25" s="1"/>
  <c r="AW65" i="25"/>
  <c r="AX65" i="25" s="1"/>
  <c r="Q64" i="25" s="1"/>
  <c r="AW62" i="25"/>
  <c r="AX62" i="25" s="1"/>
  <c r="Q61" i="25" s="1"/>
  <c r="AW59" i="25"/>
  <c r="AX59" i="25" s="1"/>
  <c r="AW56" i="25"/>
  <c r="AX56" i="25" s="1"/>
  <c r="AW53" i="25"/>
  <c r="AW50" i="25"/>
  <c r="AW47" i="25"/>
  <c r="AX47" i="25" s="1"/>
  <c r="AX44" i="25"/>
  <c r="AX43" i="25"/>
  <c r="M43" i="25" s="1"/>
  <c r="AW46" i="25"/>
  <c r="AW49" i="25"/>
  <c r="AW55" i="25"/>
  <c r="AW58" i="25"/>
  <c r="AW61" i="25"/>
  <c r="AW67" i="25"/>
  <c r="AW64" i="25"/>
  <c r="AL66" i="25"/>
  <c r="AL63" i="25"/>
  <c r="AL60" i="25"/>
  <c r="AL57" i="25"/>
  <c r="AL54" i="25"/>
  <c r="AL51" i="25"/>
  <c r="AL48" i="25"/>
  <c r="AL45" i="25"/>
  <c r="C73" i="25"/>
  <c r="Q43" i="25" l="1"/>
  <c r="Q58" i="25"/>
  <c r="Q55" i="25"/>
  <c r="Q46" i="25"/>
  <c r="AL64" i="25"/>
  <c r="AL61" i="25"/>
  <c r="AX49" i="25"/>
  <c r="AX53" i="25"/>
  <c r="AX50" i="25"/>
  <c r="AX61" i="25"/>
  <c r="AX67" i="25"/>
  <c r="M67" i="25" s="1"/>
  <c r="AX52" i="25"/>
  <c r="AX64" i="25"/>
  <c r="M64" i="25" s="1"/>
  <c r="AX58" i="25"/>
  <c r="AX46" i="25"/>
  <c r="AX55" i="25"/>
  <c r="BY47" i="25"/>
  <c r="BQ41" i="25"/>
  <c r="BT41" i="25"/>
  <c r="BO41" i="25"/>
  <c r="BR41" i="25"/>
  <c r="BP41" i="25"/>
  <c r="BS41" i="25"/>
  <c r="BY61" i="25"/>
  <c r="BY49" i="25"/>
  <c r="CA49" i="25" s="1"/>
  <c r="BV43" i="25"/>
  <c r="BY55" i="25"/>
  <c r="BY46" i="25"/>
  <c r="CA46" i="25" s="1"/>
  <c r="BY52" i="25"/>
  <c r="BY67" i="25"/>
  <c r="BY58" i="25"/>
  <c r="BV59" i="25"/>
  <c r="BY50" i="25"/>
  <c r="BY68" i="25"/>
  <c r="BY59" i="25"/>
  <c r="BV68" i="25"/>
  <c r="BA68" i="25"/>
  <c r="BA59" i="25"/>
  <c r="BY65" i="25"/>
  <c r="BY53" i="25"/>
  <c r="BY62" i="25"/>
  <c r="BY56" i="25"/>
  <c r="BY43" i="25"/>
  <c r="CA43" i="25" s="1"/>
  <c r="BA67" i="25"/>
  <c r="AX41" i="25"/>
  <c r="Q40" i="25" s="1"/>
  <c r="BA43" i="25"/>
  <c r="BA65" i="25"/>
  <c r="BA56" i="25"/>
  <c r="BA62" i="25"/>
  <c r="BA47" i="25"/>
  <c r="BV47" i="25"/>
  <c r="BV65" i="25"/>
  <c r="BV56" i="25"/>
  <c r="BV62" i="25"/>
  <c r="BV44" i="25"/>
  <c r="BA44" i="25"/>
  <c r="BA64" i="25"/>
  <c r="M61" i="25" l="1"/>
  <c r="BA61" i="25"/>
  <c r="M58" i="25"/>
  <c r="BA55" i="25"/>
  <c r="Q52" i="25"/>
  <c r="Q49" i="25"/>
  <c r="M49" i="25"/>
  <c r="M46" i="25"/>
  <c r="M52" i="25"/>
  <c r="AL49" i="25"/>
  <c r="AL46" i="25"/>
  <c r="BA53" i="25"/>
  <c r="BA58" i="25"/>
  <c r="BA50" i="25"/>
  <c r="BV50" i="25"/>
  <c r="BV53" i="25"/>
  <c r="AX73" i="25"/>
  <c r="BT73" i="25" s="1"/>
  <c r="BA52" i="25"/>
  <c r="BA46" i="25"/>
  <c r="M55" i="25"/>
  <c r="BV46" i="25"/>
  <c r="BV52" i="25"/>
  <c r="BV67" i="25"/>
  <c r="BV61" i="25"/>
  <c r="BV64" i="25"/>
  <c r="BV55" i="25"/>
  <c r="BA49" i="25"/>
  <c r="BV49" i="25"/>
  <c r="BV58" i="25"/>
  <c r="CA59" i="25"/>
  <c r="CA68" i="25"/>
  <c r="AO43" i="25"/>
  <c r="CA61" i="25"/>
  <c r="CA55" i="25"/>
  <c r="AO55" i="25" s="1"/>
  <c r="AX72" i="25"/>
  <c r="BL61" i="25" s="1"/>
  <c r="CA52" i="25"/>
  <c r="AO52" i="25" s="1"/>
  <c r="AL52" i="25"/>
  <c r="CA67" i="25"/>
  <c r="AO67" i="25" s="1"/>
  <c r="CA47" i="25"/>
  <c r="CA58" i="25"/>
  <c r="AL58" i="25"/>
  <c r="CA65" i="25"/>
  <c r="CA50" i="25"/>
  <c r="AR49" i="25" s="1"/>
  <c r="CA53" i="25"/>
  <c r="AR52" i="25" s="1"/>
  <c r="CA56" i="25"/>
  <c r="AR55" i="25" s="1"/>
  <c r="AL55" i="25"/>
  <c r="CA62" i="25"/>
  <c r="BV41" i="25"/>
  <c r="AO49" i="25"/>
  <c r="BD61" i="25" l="1"/>
  <c r="BF61" i="25"/>
  <c r="BH61" i="25"/>
  <c r="BJ61" i="25" s="1"/>
  <c r="BD49" i="25"/>
  <c r="BQ72" i="25"/>
  <c r="BQ73" i="25"/>
  <c r="AC73" i="25" s="1"/>
  <c r="AC40" i="25"/>
  <c r="AC21" i="25" s="1"/>
  <c r="BF44" i="25"/>
  <c r="AA40" i="25"/>
  <c r="AA21" i="25" s="1"/>
  <c r="BT72" i="25"/>
  <c r="BL58" i="25"/>
  <c r="BD58" i="25"/>
  <c r="BF58" i="25"/>
  <c r="BH58" i="25"/>
  <c r="BJ58" i="25" s="1"/>
  <c r="BL59" i="25"/>
  <c r="BH59" i="25"/>
  <c r="BJ59" i="25" s="1"/>
  <c r="BF59" i="25"/>
  <c r="BD59" i="25"/>
  <c r="BS73" i="25"/>
  <c r="BH56" i="25"/>
  <c r="BJ56" i="25" s="1"/>
  <c r="BD56" i="25"/>
  <c r="BF56" i="25"/>
  <c r="BL56" i="25"/>
  <c r="BH52" i="25"/>
  <c r="BJ52" i="25" s="1"/>
  <c r="BL52" i="25"/>
  <c r="BD52" i="25"/>
  <c r="BF52" i="25"/>
  <c r="Q71" i="25"/>
  <c r="BF55" i="25"/>
  <c r="BH55" i="25"/>
  <c r="BJ55" i="25" s="1"/>
  <c r="BL55" i="25"/>
  <c r="BD55" i="25"/>
  <c r="BO73" i="25"/>
  <c r="BN73" i="25"/>
  <c r="BR73" i="25"/>
  <c r="BP73" i="25"/>
  <c r="Q72" i="25"/>
  <c r="BL49" i="25"/>
  <c r="BF49" i="25"/>
  <c r="BH49" i="25"/>
  <c r="BJ49" i="25" s="1"/>
  <c r="BO72" i="25"/>
  <c r="BS72" i="25"/>
  <c r="BP72" i="25"/>
  <c r="BR72" i="25"/>
  <c r="BN72" i="25"/>
  <c r="AA64" i="25" s="1"/>
  <c r="BL50" i="25"/>
  <c r="BL53" i="25"/>
  <c r="BF53" i="25"/>
  <c r="BD53" i="25"/>
  <c r="BH53" i="25"/>
  <c r="BJ53" i="25" s="1"/>
  <c r="BH50" i="25"/>
  <c r="BJ50" i="25" s="1"/>
  <c r="BF50" i="25"/>
  <c r="BD50" i="25"/>
  <c r="BF47" i="25"/>
  <c r="BH47" i="25"/>
  <c r="BJ47" i="25" s="1"/>
  <c r="BD47" i="25"/>
  <c r="BL47" i="25"/>
  <c r="BF46" i="25"/>
  <c r="BD46" i="25"/>
  <c r="BH46" i="25"/>
  <c r="BJ46" i="25" s="1"/>
  <c r="BL46" i="25"/>
  <c r="BL40" i="25"/>
  <c r="BH40" i="25"/>
  <c r="BJ40" i="25" s="1"/>
  <c r="BF40" i="25"/>
  <c r="BD40" i="25"/>
  <c r="BV72" i="25"/>
  <c r="AA92" i="25" s="1"/>
  <c r="BV73" i="25"/>
  <c r="AC92" i="25" s="1"/>
  <c r="M71" i="25"/>
  <c r="M72" i="25"/>
  <c r="AA79" i="25" l="1"/>
  <c r="AA81" i="25"/>
  <c r="C30" i="29"/>
  <c r="G6" i="31"/>
  <c r="G7" i="31"/>
  <c r="R28" i="13"/>
  <c r="M33" i="13" s="1"/>
  <c r="C22" i="31"/>
  <c r="G22" i="31"/>
  <c r="M25" i="31"/>
  <c r="I25" i="31"/>
  <c r="M24" i="31"/>
  <c r="I24" i="31"/>
  <c r="G24" i="31"/>
  <c r="M23" i="31"/>
  <c r="I23" i="31"/>
  <c r="G23" i="31"/>
  <c r="C23" i="31"/>
  <c r="W14" i="31"/>
  <c r="U14" i="31"/>
  <c r="P14" i="31"/>
  <c r="L14" i="31"/>
  <c r="J14" i="31"/>
  <c r="W13" i="31"/>
  <c r="U13" i="31"/>
  <c r="P13" i="31"/>
  <c r="L13" i="31"/>
  <c r="J13" i="31"/>
  <c r="W12" i="31"/>
  <c r="U12" i="31"/>
  <c r="P12" i="31"/>
  <c r="L12" i="31"/>
  <c r="J12" i="31"/>
  <c r="W11" i="31"/>
  <c r="U11" i="31"/>
  <c r="P11" i="31"/>
  <c r="L11" i="31"/>
  <c r="J11" i="31"/>
  <c r="W10" i="31"/>
  <c r="U10" i="31"/>
  <c r="P10" i="31"/>
  <c r="L10" i="31"/>
  <c r="J10" i="31"/>
  <c r="W9" i="31"/>
  <c r="U9" i="31"/>
  <c r="P9" i="31"/>
  <c r="L9" i="31"/>
  <c r="J9" i="31"/>
  <c r="C19" i="31"/>
  <c r="W8" i="31"/>
  <c r="P8" i="31"/>
  <c r="J8" i="31"/>
  <c r="C17" i="31"/>
  <c r="C7" i="31"/>
  <c r="M35" i="13" l="1"/>
  <c r="V11" i="31"/>
  <c r="V12" i="31"/>
  <c r="V10" i="31"/>
  <c r="X11" i="31"/>
  <c r="X9" i="31"/>
  <c r="X10" i="31"/>
  <c r="V13" i="31"/>
  <c r="X14" i="31"/>
  <c r="V9" i="31"/>
  <c r="V14" i="31"/>
  <c r="X13" i="31"/>
  <c r="X12" i="31"/>
  <c r="BL43" i="25" l="1"/>
  <c r="BH43" i="25"/>
  <c r="BF43" i="25"/>
  <c r="BD43" i="25"/>
  <c r="BD72" i="25" s="1"/>
  <c r="AA46" i="25" s="1"/>
  <c r="BY64" i="25"/>
  <c r="BY44" i="25"/>
  <c r="AL43" i="25" s="1"/>
  <c r="BJ43" i="25" l="1"/>
  <c r="CA64" i="25"/>
  <c r="CA44" i="25"/>
  <c r="AR46" i="25"/>
  <c r="AO58" i="25"/>
  <c r="AR61" i="25"/>
  <c r="CA73" i="25" l="1"/>
  <c r="AR43" i="25"/>
  <c r="CA72" i="25"/>
  <c r="AN72" i="25" s="1"/>
  <c r="AO64" i="25"/>
  <c r="AR64" i="25"/>
  <c r="AR58" i="25"/>
  <c r="AR67" i="25"/>
  <c r="AO61" i="25"/>
  <c r="AO46" i="25"/>
  <c r="BY72" i="25" l="1"/>
  <c r="AN73" i="25" s="1"/>
  <c r="BY73" i="25"/>
  <c r="AQ73" i="25" s="1"/>
  <c r="AQ72" i="25"/>
  <c r="D21" i="27"/>
  <c r="D20" i="27"/>
  <c r="D19" i="27"/>
  <c r="L8" i="31" l="1"/>
  <c r="W16" i="31" l="1"/>
  <c r="X16" i="31" s="1"/>
  <c r="BD41" i="25" l="1"/>
  <c r="AC70" i="25"/>
  <c r="BD44" i="25"/>
  <c r="V34" i="31"/>
  <c r="AC76" i="25"/>
  <c r="BF41" i="25"/>
  <c r="BL44" i="25"/>
  <c r="BL41" i="25"/>
  <c r="AC64" i="25"/>
  <c r="AC81" i="25"/>
  <c r="W17" i="31"/>
  <c r="X17" i="31" s="1"/>
  <c r="BH44" i="25"/>
  <c r="BJ44" i="25" s="1"/>
  <c r="BH41" i="25"/>
  <c r="BJ41" i="25" s="1"/>
  <c r="AC67" i="25"/>
  <c r="AC79" i="25" l="1"/>
  <c r="AC86" i="25"/>
  <c r="AC84" i="25"/>
  <c r="S34" i="31"/>
  <c r="E34" i="31"/>
  <c r="T34" i="31"/>
  <c r="BD73" i="25"/>
  <c r="AC46" i="25" s="1"/>
  <c r="BF73" i="25"/>
  <c r="AC49" i="25" s="1"/>
  <c r="BJ73" i="25"/>
  <c r="AC55" i="25" s="1"/>
  <c r="BH73" i="25"/>
  <c r="AC52" i="25" s="1"/>
  <c r="BL73" i="25"/>
  <c r="AC58" i="25" s="1"/>
  <c r="L22" i="17"/>
  <c r="F32" i="17"/>
  <c r="F31" i="17"/>
  <c r="C32" i="17"/>
  <c r="C31" i="17"/>
  <c r="C30" i="17"/>
  <c r="F30" i="17"/>
  <c r="P28" i="17"/>
  <c r="P27" i="17"/>
  <c r="P26" i="17"/>
  <c r="P25" i="17"/>
  <c r="P24" i="17"/>
  <c r="P23" i="17"/>
  <c r="P22" i="17"/>
  <c r="N28" i="17"/>
  <c r="N27" i="17"/>
  <c r="N26" i="17"/>
  <c r="N25" i="17"/>
  <c r="N24" i="17"/>
  <c r="N23" i="17"/>
  <c r="L28" i="17"/>
  <c r="L27" i="17"/>
  <c r="L26" i="17"/>
  <c r="L25" i="17"/>
  <c r="L24" i="17"/>
  <c r="L23" i="17"/>
  <c r="F25" i="17"/>
  <c r="F24" i="17"/>
  <c r="F23" i="17"/>
  <c r="C25" i="17"/>
  <c r="C24" i="17"/>
  <c r="C23" i="17"/>
  <c r="C22" i="17"/>
  <c r="J10" i="17"/>
  <c r="J9" i="17"/>
  <c r="J8" i="17"/>
  <c r="J7" i="17"/>
  <c r="J6" i="17"/>
  <c r="N6" i="17"/>
  <c r="S11" i="17"/>
  <c r="S10" i="17"/>
  <c r="S9" i="17"/>
  <c r="S7" i="17"/>
  <c r="S8" i="17"/>
  <c r="S6" i="17"/>
  <c r="S12" i="17"/>
  <c r="Q11" i="17"/>
  <c r="Q10" i="17"/>
  <c r="Q9" i="17"/>
  <c r="Q8" i="17"/>
  <c r="Q7" i="17"/>
  <c r="Q6" i="17"/>
  <c r="F8" i="17"/>
  <c r="H34" i="31" l="1"/>
  <c r="L34" i="31"/>
  <c r="J34" i="31"/>
  <c r="K34" i="31"/>
  <c r="I34" i="31"/>
  <c r="W34" i="31"/>
  <c r="Q23" i="17"/>
  <c r="G10" i="29" l="1"/>
  <c r="G8" i="29"/>
  <c r="CE8" i="29" s="1"/>
  <c r="E45" i="29"/>
  <c r="I28" i="17" s="1"/>
  <c r="E42" i="29"/>
  <c r="I27" i="17" s="1"/>
  <c r="E39" i="29"/>
  <c r="I26" i="17" s="1"/>
  <c r="E36" i="29"/>
  <c r="I25" i="17" s="1"/>
  <c r="E33" i="29"/>
  <c r="I24" i="17" s="1"/>
  <c r="C45" i="29"/>
  <c r="V45" i="29" s="1"/>
  <c r="C42" i="29"/>
  <c r="V42" i="29" s="1"/>
  <c r="C39" i="29"/>
  <c r="V39" i="29" s="1"/>
  <c r="C36" i="29"/>
  <c r="V36" i="29" s="1"/>
  <c r="E30" i="29"/>
  <c r="C33" i="29"/>
  <c r="V33" i="29" s="1"/>
  <c r="O8" i="29"/>
  <c r="BZ14" i="29" s="1"/>
  <c r="CA14" i="29" s="1"/>
  <c r="G7" i="29"/>
  <c r="G6" i="29"/>
  <c r="BZ9" i="29" s="1"/>
  <c r="CA9" i="29" s="1"/>
  <c r="V74" i="29"/>
  <c r="V73" i="29"/>
  <c r="W71" i="29"/>
  <c r="W69" i="29"/>
  <c r="W67" i="29"/>
  <c r="AA66" i="29"/>
  <c r="V66" i="29"/>
  <c r="E27" i="29"/>
  <c r="G19" i="29"/>
  <c r="J27" i="29" s="1"/>
  <c r="N22" i="17" s="1"/>
  <c r="O22" i="17" s="1"/>
  <c r="CF14" i="29"/>
  <c r="J14" i="29"/>
  <c r="R21" i="29" s="1"/>
  <c r="CF13" i="29"/>
  <c r="CF12" i="29"/>
  <c r="G3" i="29"/>
  <c r="AS28" i="29" l="1"/>
  <c r="I22" i="17"/>
  <c r="V30" i="29"/>
  <c r="I23" i="17"/>
  <c r="BZ8" i="29"/>
  <c r="CA8" i="29" s="1"/>
  <c r="F22" i="17"/>
  <c r="J53" i="29"/>
  <c r="J54" i="29"/>
  <c r="O10" i="29"/>
  <c r="BZ11" i="29" s="1"/>
  <c r="BZ13" i="29" s="1"/>
  <c r="CA13" i="29" s="1"/>
  <c r="CE10" i="29"/>
  <c r="CF10" i="29" s="1"/>
  <c r="CF8" i="29"/>
  <c r="V27" i="29"/>
  <c r="CE9" i="29"/>
  <c r="CF9" i="29" s="1"/>
  <c r="H5" i="27"/>
  <c r="E5" i="27"/>
  <c r="E6" i="27"/>
  <c r="E7" i="27"/>
  <c r="E8" i="27"/>
  <c r="E9" i="27"/>
  <c r="E10" i="27"/>
  <c r="E11" i="27"/>
  <c r="E12" i="27"/>
  <c r="E13" i="27"/>
  <c r="D5" i="27"/>
  <c r="D6" i="27"/>
  <c r="D7" i="27"/>
  <c r="D8" i="27"/>
  <c r="D9" i="27"/>
  <c r="D12" i="27"/>
  <c r="D13" i="27"/>
  <c r="D15" i="27"/>
  <c r="C13" i="27"/>
  <c r="C5" i="27"/>
  <c r="C6" i="27"/>
  <c r="C7" i="27"/>
  <c r="C12" i="27"/>
  <c r="BD37" i="29" l="1"/>
  <c r="BN27" i="29"/>
  <c r="BJ27" i="29"/>
  <c r="BB27" i="29"/>
  <c r="AM27" i="29"/>
  <c r="X27" i="29"/>
  <c r="Y27" i="29" s="1"/>
  <c r="BM27" i="29"/>
  <c r="BI27" i="29"/>
  <c r="AZ27" i="29"/>
  <c r="AJ27" i="29"/>
  <c r="AA27" i="29"/>
  <c r="BL27" i="29"/>
  <c r="BH27" i="29"/>
  <c r="AS27" i="29"/>
  <c r="AT27" i="29" s="1"/>
  <c r="AG27" i="29"/>
  <c r="Z27" i="29"/>
  <c r="N9" i="17" s="1"/>
  <c r="BK27" i="29"/>
  <c r="BD27" i="29"/>
  <c r="AP27" i="29"/>
  <c r="AD27" i="29"/>
  <c r="AJ31" i="29"/>
  <c r="BN40" i="29"/>
  <c r="AZ28" i="29"/>
  <c r="AA34" i="29"/>
  <c r="Z43" i="29"/>
  <c r="BK40" i="29"/>
  <c r="R43" i="29"/>
  <c r="AD46" i="29"/>
  <c r="AZ46" i="29"/>
  <c r="AG28" i="29"/>
  <c r="AP34" i="29"/>
  <c r="AP40" i="29"/>
  <c r="R28" i="29"/>
  <c r="BN34" i="29"/>
  <c r="BD40" i="29"/>
  <c r="BB28" i="29"/>
  <c r="BH31" i="29"/>
  <c r="BK37" i="29"/>
  <c r="AP46" i="29"/>
  <c r="X37" i="29"/>
  <c r="Y37" i="29" s="1"/>
  <c r="BN46" i="29"/>
  <c r="BH43" i="29"/>
  <c r="BN43" i="29"/>
  <c r="BM40" i="29"/>
  <c r="AM40" i="29"/>
  <c r="BM37" i="29"/>
  <c r="AM37" i="29"/>
  <c r="BM34" i="29"/>
  <c r="AM34" i="29"/>
  <c r="BN31" i="29"/>
  <c r="BJ28" i="29"/>
  <c r="BI43" i="29"/>
  <c r="AG43" i="29"/>
  <c r="BH40" i="29"/>
  <c r="Z37" i="29"/>
  <c r="AJ40" i="29"/>
  <c r="BH28" i="29"/>
  <c r="Z28" i="29"/>
  <c r="BD28" i="29"/>
  <c r="AM46" i="29"/>
  <c r="BM46" i="29"/>
  <c r="Z31" i="29"/>
  <c r="X34" i="29"/>
  <c r="Y34" i="29" s="1"/>
  <c r="AM31" i="29"/>
  <c r="BK34" i="29"/>
  <c r="BD31" i="29"/>
  <c r="AD34" i="29"/>
  <c r="AJ37" i="29"/>
  <c r="BJ40" i="29"/>
  <c r="BB40" i="29"/>
  <c r="BJ43" i="29"/>
  <c r="BI40" i="29"/>
  <c r="AG40" i="29"/>
  <c r="BI37" i="29"/>
  <c r="AG37" i="29"/>
  <c r="BI34" i="29"/>
  <c r="AG34" i="29"/>
  <c r="BJ31" i="29"/>
  <c r="AP28" i="29"/>
  <c r="AJ46" i="29"/>
  <c r="BK28" i="29"/>
  <c r="BL31" i="29"/>
  <c r="R31" i="29"/>
  <c r="AD40" i="29"/>
  <c r="AS31" i="29"/>
  <c r="AP43" i="29"/>
  <c r="X40" i="29"/>
  <c r="Y40" i="29" s="1"/>
  <c r="BK43" i="29"/>
  <c r="X46" i="29"/>
  <c r="X43" i="29"/>
  <c r="Y43" i="29" s="1"/>
  <c r="R40" i="29"/>
  <c r="R37" i="29"/>
  <c r="R34" i="29"/>
  <c r="X31" i="29"/>
  <c r="Y31" i="29" s="1"/>
  <c r="BB46" i="29"/>
  <c r="AS43" i="29"/>
  <c r="AT43" i="29" s="1"/>
  <c r="AV43" i="29" s="1"/>
  <c r="BL40" i="29"/>
  <c r="Z40" i="29"/>
  <c r="AZ31" i="29"/>
  <c r="BD34" i="29"/>
  <c r="AM28" i="29"/>
  <c r="AA28" i="29"/>
  <c r="BI28" i="29"/>
  <c r="AA46" i="29"/>
  <c r="BI46" i="29"/>
  <c r="AD37" i="29"/>
  <c r="BM31" i="29"/>
  <c r="AD43" i="29"/>
  <c r="Z46" i="29"/>
  <c r="BL46" i="29"/>
  <c r="BB43" i="29"/>
  <c r="AZ40" i="29"/>
  <c r="AZ37" i="29"/>
  <c r="AZ34" i="29"/>
  <c r="BB31" i="29"/>
  <c r="AM43" i="29"/>
  <c r="BL37" i="29"/>
  <c r="X28" i="29"/>
  <c r="AT28" i="29" s="1"/>
  <c r="BK31" i="29"/>
  <c r="BL43" i="29"/>
  <c r="BL28" i="29"/>
  <c r="Y28" i="29"/>
  <c r="BN28" i="29"/>
  <c r="AG46" i="29"/>
  <c r="BB34" i="29"/>
  <c r="BM28" i="29"/>
  <c r="AJ28" i="29"/>
  <c r="AP37" i="29"/>
  <c r="BJ34" i="29"/>
  <c r="BD43" i="29"/>
  <c r="BJ46" i="29"/>
  <c r="BD46" i="29"/>
  <c r="AS40" i="29"/>
  <c r="AS37" i="29"/>
  <c r="AS34" i="29"/>
  <c r="AT34" i="29" s="1"/>
  <c r="AV34" i="29" s="1"/>
  <c r="BM43" i="29"/>
  <c r="AA43" i="29"/>
  <c r="BH37" i="29"/>
  <c r="BL34" i="29"/>
  <c r="AA31" i="29"/>
  <c r="Z34" i="29"/>
  <c r="AS46" i="29"/>
  <c r="AT46" i="29" s="1"/>
  <c r="BH46" i="29"/>
  <c r="BN37" i="29"/>
  <c r="BH34" i="29"/>
  <c r="AZ43" i="29"/>
  <c r="AA37" i="29"/>
  <c r="AG31" i="29"/>
  <c r="R46" i="29"/>
  <c r="Y46" i="29"/>
  <c r="BB37" i="29"/>
  <c r="BK46" i="29"/>
  <c r="AA40" i="29"/>
  <c r="AJ43" i="29"/>
  <c r="BJ37" i="29"/>
  <c r="AJ34" i="29"/>
  <c r="AP31" i="29"/>
  <c r="AD28" i="29"/>
  <c r="AD31" i="29"/>
  <c r="BI31" i="29"/>
  <c r="CA11" i="29"/>
  <c r="R27" i="29"/>
  <c r="BK45" i="29"/>
  <c r="BD45" i="29"/>
  <c r="AP45" i="29"/>
  <c r="AJ45" i="29"/>
  <c r="AD45" i="29"/>
  <c r="R45" i="29"/>
  <c r="BM42" i="29"/>
  <c r="BI42" i="29"/>
  <c r="AZ42" i="29"/>
  <c r="AS42" i="29"/>
  <c r="AT42" i="29" s="1"/>
  <c r="AM42" i="29"/>
  <c r="AG42" i="29"/>
  <c r="AA42" i="29"/>
  <c r="BK39" i="29"/>
  <c r="BD39" i="29"/>
  <c r="AP39" i="29"/>
  <c r="AJ39" i="29"/>
  <c r="AD39" i="29"/>
  <c r="R39" i="29"/>
  <c r="BM36" i="29"/>
  <c r="BI36" i="29"/>
  <c r="AZ36" i="29"/>
  <c r="AS36" i="29"/>
  <c r="AM36" i="29"/>
  <c r="AG36" i="29"/>
  <c r="AA36" i="29"/>
  <c r="BN45" i="29"/>
  <c r="BJ45" i="29"/>
  <c r="BB45" i="29"/>
  <c r="X45" i="29"/>
  <c r="Y45" i="29" s="1"/>
  <c r="BL42" i="29"/>
  <c r="BH42" i="29"/>
  <c r="Z42" i="29"/>
  <c r="S42" i="29"/>
  <c r="BN39" i="29"/>
  <c r="BJ39" i="29"/>
  <c r="BB39" i="29"/>
  <c r="X39" i="29"/>
  <c r="Y39" i="29" s="1"/>
  <c r="BL36" i="29"/>
  <c r="BH36" i="29"/>
  <c r="Z36" i="29"/>
  <c r="S36" i="29"/>
  <c r="BN33" i="29"/>
  <c r="BJ33" i="29"/>
  <c r="BB33" i="29"/>
  <c r="X33" i="29"/>
  <c r="Y33" i="29" s="1"/>
  <c r="BL30" i="29"/>
  <c r="BH30" i="29"/>
  <c r="Z30" i="29"/>
  <c r="S30" i="29"/>
  <c r="BI45" i="29"/>
  <c r="AS45" i="29"/>
  <c r="AT45" i="29" s="1"/>
  <c r="AG45" i="29"/>
  <c r="BD42" i="29"/>
  <c r="AP42" i="29"/>
  <c r="AD42" i="29"/>
  <c r="BM39" i="29"/>
  <c r="AZ39" i="29"/>
  <c r="AM39" i="29"/>
  <c r="AA39" i="29"/>
  <c r="BJ36" i="29"/>
  <c r="X36" i="29"/>
  <c r="Y36" i="29" s="1"/>
  <c r="BK33" i="29"/>
  <c r="AZ33" i="29"/>
  <c r="AJ33" i="29"/>
  <c r="AA33" i="29"/>
  <c r="S33" i="29"/>
  <c r="BK30" i="29"/>
  <c r="BB30" i="29"/>
  <c r="AS30" i="29"/>
  <c r="AJ30" i="29"/>
  <c r="AQ14" i="29"/>
  <c r="AE14" i="29"/>
  <c r="H38" i="17" s="1"/>
  <c r="BH45" i="29"/>
  <c r="S45" i="29"/>
  <c r="BN42" i="29"/>
  <c r="BB42" i="29"/>
  <c r="R42" i="29"/>
  <c r="BL39" i="29"/>
  <c r="Z39" i="29"/>
  <c r="BD36" i="29"/>
  <c r="AP36" i="29"/>
  <c r="AD36" i="29"/>
  <c r="BI33" i="29"/>
  <c r="AP33" i="29"/>
  <c r="AG33" i="29"/>
  <c r="Z33" i="29"/>
  <c r="R33" i="29"/>
  <c r="BJ30" i="29"/>
  <c r="AZ30" i="29"/>
  <c r="AP30" i="29"/>
  <c r="AA30" i="29"/>
  <c r="R30" i="29"/>
  <c r="AN14" i="29"/>
  <c r="AQ5" i="29"/>
  <c r="BI30" i="29"/>
  <c r="AG30" i="29"/>
  <c r="BL45" i="29"/>
  <c r="Z45" i="29"/>
  <c r="BJ42" i="29"/>
  <c r="X42" i="29"/>
  <c r="Y42" i="29" s="1"/>
  <c r="BK36" i="29"/>
  <c r="AJ36" i="29"/>
  <c r="BL33" i="29"/>
  <c r="AS33" i="29"/>
  <c r="AD33" i="29"/>
  <c r="X30" i="29"/>
  <c r="Y30" i="29" s="1"/>
  <c r="AH14" i="29"/>
  <c r="AQ9" i="29"/>
  <c r="BM45" i="29"/>
  <c r="AZ45" i="29"/>
  <c r="AM45" i="29"/>
  <c r="AA45" i="29"/>
  <c r="BK42" i="29"/>
  <c r="AJ42" i="29"/>
  <c r="BI39" i="29"/>
  <c r="AS39" i="29"/>
  <c r="AG39" i="29"/>
  <c r="BN36" i="29"/>
  <c r="BB36" i="29"/>
  <c r="R36" i="29"/>
  <c r="BM33" i="29"/>
  <c r="BH33" i="29"/>
  <c r="AM33" i="29"/>
  <c r="BN30" i="29"/>
  <c r="AK14" i="29"/>
  <c r="AQ8" i="29"/>
  <c r="BH39" i="29"/>
  <c r="S39" i="29"/>
  <c r="BD33" i="29"/>
  <c r="BM30" i="29"/>
  <c r="BD30" i="29"/>
  <c r="AM30" i="29"/>
  <c r="AD30" i="29"/>
  <c r="S27" i="29"/>
  <c r="AQ7" i="29"/>
  <c r="AT31" i="29" l="1"/>
  <c r="AU31" i="29" s="1"/>
  <c r="AB27" i="29"/>
  <c r="BO27" i="29"/>
  <c r="AT40" i="29"/>
  <c r="AU40" i="29" s="1"/>
  <c r="AB34" i="29"/>
  <c r="BO31" i="29"/>
  <c r="AB31" i="29"/>
  <c r="AV31" i="29"/>
  <c r="AU27" i="29"/>
  <c r="AV27" i="29"/>
  <c r="AB37" i="29"/>
  <c r="AT37" i="29"/>
  <c r="AV37" i="29" s="1"/>
  <c r="AV40" i="29"/>
  <c r="AV46" i="29"/>
  <c r="AU46" i="29"/>
  <c r="BO43" i="29"/>
  <c r="AB43" i="29"/>
  <c r="BO34" i="29"/>
  <c r="BO46" i="29"/>
  <c r="AB46" i="29"/>
  <c r="BO40" i="29"/>
  <c r="AU43" i="29"/>
  <c r="BO28" i="29"/>
  <c r="AB28" i="29"/>
  <c r="BO37" i="29"/>
  <c r="AB40" i="29"/>
  <c r="AU28" i="29"/>
  <c r="AV28" i="29"/>
  <c r="AU34" i="29"/>
  <c r="J49" i="29"/>
  <c r="N31" i="17" s="1"/>
  <c r="O31" i="17" s="1"/>
  <c r="AT39" i="29"/>
  <c r="AV39" i="29" s="1"/>
  <c r="L50" i="29"/>
  <c r="P31" i="17" s="1"/>
  <c r="Q31" i="17" s="1"/>
  <c r="Y50" i="29"/>
  <c r="AT30" i="29"/>
  <c r="AV30" i="29" s="1"/>
  <c r="AB30" i="29"/>
  <c r="AT33" i="29"/>
  <c r="AU33" i="29" s="1"/>
  <c r="BO30" i="29"/>
  <c r="AB39" i="29"/>
  <c r="BO39" i="29"/>
  <c r="AB33" i="29"/>
  <c r="BO45" i="29"/>
  <c r="AB45" i="29"/>
  <c r="AT36" i="29"/>
  <c r="AU36" i="29" s="1"/>
  <c r="AV45" i="29"/>
  <c r="AU45" i="29"/>
  <c r="AV42" i="29"/>
  <c r="AU42" i="29"/>
  <c r="BO36" i="29"/>
  <c r="AB36" i="29"/>
  <c r="BO42" i="29"/>
  <c r="AB42" i="29"/>
  <c r="Y49" i="29"/>
  <c r="N32" i="17" s="1"/>
  <c r="O32" i="17" s="1"/>
  <c r="BO33" i="29"/>
  <c r="W27" i="13"/>
  <c r="AK34" i="29" l="1"/>
  <c r="P32" i="17"/>
  <c r="Q32" i="17" s="1"/>
  <c r="AU37" i="29"/>
  <c r="AE31" i="29"/>
  <c r="AK31" i="29"/>
  <c r="AN31" i="29"/>
  <c r="AQ31" i="29" s="1"/>
  <c r="AH31" i="29"/>
  <c r="AU39" i="29"/>
  <c r="AV50" i="29"/>
  <c r="AS18" i="29" s="1"/>
  <c r="N42" i="17" s="1"/>
  <c r="BL50" i="29"/>
  <c r="BL18" i="29" s="1"/>
  <c r="AK40" i="29"/>
  <c r="AB50" i="29"/>
  <c r="AB18" i="29" s="1"/>
  <c r="BM50" i="29"/>
  <c r="BN18" i="29" s="1"/>
  <c r="BJ50" i="29"/>
  <c r="BJ18" i="29" s="1"/>
  <c r="AE46" i="29"/>
  <c r="AE34" i="29"/>
  <c r="BN50" i="29"/>
  <c r="AN46" i="29"/>
  <c r="AQ46" i="29" s="1"/>
  <c r="BI50" i="29"/>
  <c r="BI18" i="29" s="1"/>
  <c r="BH50" i="29"/>
  <c r="BH18" i="29" s="1"/>
  <c r="AN34" i="29"/>
  <c r="AQ34" i="29" s="1"/>
  <c r="BO50" i="29"/>
  <c r="BO18" i="29" s="1"/>
  <c r="AN36" i="29"/>
  <c r="AQ36" i="29" s="1"/>
  <c r="AK27" i="29"/>
  <c r="AE27" i="29"/>
  <c r="AN27" i="29"/>
  <c r="AQ27" i="29" s="1"/>
  <c r="AH27" i="29"/>
  <c r="Z18" i="29"/>
  <c r="E42" i="17" s="1"/>
  <c r="AN40" i="29"/>
  <c r="AQ40" i="29" s="1"/>
  <c r="AN37" i="29"/>
  <c r="AQ37" i="29" s="1"/>
  <c r="AN28" i="29"/>
  <c r="AQ28" i="29" s="1"/>
  <c r="AE37" i="29"/>
  <c r="AH28" i="29"/>
  <c r="BK50" i="29"/>
  <c r="BK18" i="29" s="1"/>
  <c r="AK28" i="29"/>
  <c r="CA46" i="29"/>
  <c r="AE43" i="29"/>
  <c r="AN43" i="29"/>
  <c r="AQ43" i="29" s="1"/>
  <c r="AH34" i="29"/>
  <c r="AH40" i="29"/>
  <c r="AE40" i="29"/>
  <c r="AK37" i="29"/>
  <c r="AK43" i="29"/>
  <c r="AE28" i="29"/>
  <c r="AK46" i="29"/>
  <c r="AH46" i="29"/>
  <c r="AH37" i="29"/>
  <c r="AH43" i="29"/>
  <c r="AV36" i="29"/>
  <c r="AU30" i="29"/>
  <c r="AV33" i="29"/>
  <c r="BO49" i="29"/>
  <c r="BO16" i="29" s="1"/>
  <c r="AB49" i="29"/>
  <c r="AB16" i="29" s="1"/>
  <c r="AE36" i="29"/>
  <c r="AE33" i="29"/>
  <c r="AN33" i="29"/>
  <c r="AQ33" i="29" s="1"/>
  <c r="AK42" i="29"/>
  <c r="BM49" i="29"/>
  <c r="BN16" i="29" s="1"/>
  <c r="AN45" i="29"/>
  <c r="AQ45" i="29" s="1"/>
  <c r="AN39" i="29"/>
  <c r="AQ39" i="29" s="1"/>
  <c r="AK30" i="29"/>
  <c r="AK39" i="29"/>
  <c r="AK45" i="29"/>
  <c r="AH45" i="29"/>
  <c r="AH39" i="29"/>
  <c r="BJ49" i="29"/>
  <c r="BJ16" i="29" s="1"/>
  <c r="Z16" i="29"/>
  <c r="E40" i="17" s="1"/>
  <c r="AH30" i="29"/>
  <c r="AN30" i="29"/>
  <c r="AQ30" i="29" s="1"/>
  <c r="AH33" i="29"/>
  <c r="AE30" i="29"/>
  <c r="AK33" i="29"/>
  <c r="BI49" i="29"/>
  <c r="BI16" i="29" s="1"/>
  <c r="AE45" i="29"/>
  <c r="AE42" i="29"/>
  <c r="AN42" i="29"/>
  <c r="AQ42" i="29" s="1"/>
  <c r="AH36" i="29"/>
  <c r="BN49" i="29"/>
  <c r="AE39" i="29"/>
  <c r="AH42" i="29"/>
  <c r="BH49" i="29"/>
  <c r="BH16" i="29" s="1"/>
  <c r="AK36" i="29"/>
  <c r="BL49" i="29"/>
  <c r="BL16" i="29" s="1"/>
  <c r="BK49" i="29"/>
  <c r="BK16" i="29" s="1"/>
  <c r="F6" i="17"/>
  <c r="F9" i="17"/>
  <c r="N8" i="17"/>
  <c r="N7" i="17"/>
  <c r="J11" i="17"/>
  <c r="CI8" i="29" l="1"/>
  <c r="BZ10" i="29" s="1"/>
  <c r="F40" i="17"/>
  <c r="CK8" i="29"/>
  <c r="F42" i="17"/>
  <c r="CA31" i="29"/>
  <c r="BZ31" i="29"/>
  <c r="CB31" i="29"/>
  <c r="AT50" i="29"/>
  <c r="AU18" i="29" s="1"/>
  <c r="O42" i="17" s="1"/>
  <c r="CA34" i="29"/>
  <c r="BZ34" i="29"/>
  <c r="CB34" i="29"/>
  <c r="BZ46" i="29"/>
  <c r="CB46" i="29"/>
  <c r="AQ50" i="29"/>
  <c r="AQ18" i="29" s="1"/>
  <c r="AE50" i="29"/>
  <c r="AE18" i="29" s="1"/>
  <c r="BZ28" i="29"/>
  <c r="CA28" i="29"/>
  <c r="CB28" i="29"/>
  <c r="BZ43" i="29"/>
  <c r="CB43" i="29"/>
  <c r="CA43" i="29"/>
  <c r="CB40" i="29"/>
  <c r="CA40" i="29"/>
  <c r="BZ40" i="29"/>
  <c r="CB37" i="29"/>
  <c r="CA37" i="29"/>
  <c r="BZ37" i="29"/>
  <c r="AH50" i="29"/>
  <c r="AH18" i="29" s="1"/>
  <c r="AK50" i="29"/>
  <c r="AK18" i="29" s="1"/>
  <c r="AN50" i="29"/>
  <c r="AN18" i="29" s="1"/>
  <c r="AV49" i="29"/>
  <c r="AS16" i="29" s="1"/>
  <c r="N40" i="17" s="1"/>
  <c r="BZ27" i="29"/>
  <c r="CB27" i="29"/>
  <c r="CA27" i="29"/>
  <c r="AN49" i="29"/>
  <c r="AN16" i="29" s="1"/>
  <c r="AK49" i="29"/>
  <c r="AK16" i="29" s="1"/>
  <c r="AH49" i="29"/>
  <c r="AH16" i="29" s="1"/>
  <c r="CB36" i="29"/>
  <c r="CA36" i="29"/>
  <c r="BZ36" i="29"/>
  <c r="BZ39" i="29"/>
  <c r="CB39" i="29"/>
  <c r="CA39" i="29"/>
  <c r="AQ49" i="29"/>
  <c r="AQ16" i="29" s="1"/>
  <c r="CB33" i="29"/>
  <c r="BZ33" i="29"/>
  <c r="CA33" i="29"/>
  <c r="BZ42" i="29"/>
  <c r="CB42" i="29"/>
  <c r="CA42" i="29"/>
  <c r="CB45" i="29"/>
  <c r="BZ45" i="29"/>
  <c r="CA45" i="29"/>
  <c r="BZ30" i="29"/>
  <c r="CB30" i="29"/>
  <c r="CA30" i="29"/>
  <c r="AE49" i="29"/>
  <c r="AE16" i="29" s="1"/>
  <c r="AA16" i="29"/>
  <c r="AA18" i="29"/>
  <c r="AA14" i="29"/>
  <c r="Q28" i="17"/>
  <c r="O28" i="17"/>
  <c r="Q27" i="17"/>
  <c r="Q26" i="17"/>
  <c r="Q25" i="17"/>
  <c r="Q24" i="17"/>
  <c r="Z61" i="29" l="1"/>
  <c r="Y61" i="29" s="1"/>
  <c r="K40" i="17"/>
  <c r="Z55" i="29"/>
  <c r="Y55" i="29" s="1"/>
  <c r="H40" i="17"/>
  <c r="Z57" i="29"/>
  <c r="Y57" i="29" s="1"/>
  <c r="I40" i="17"/>
  <c r="Z63" i="29"/>
  <c r="Y63" i="29" s="1"/>
  <c r="L40" i="17"/>
  <c r="Z59" i="29"/>
  <c r="Y59" i="29" s="1"/>
  <c r="J40" i="17"/>
  <c r="Z58" i="29"/>
  <c r="Y58" i="29" s="1"/>
  <c r="I42" i="17"/>
  <c r="Z56" i="29"/>
  <c r="Y56" i="29" s="1"/>
  <c r="H42" i="17"/>
  <c r="Z62" i="29"/>
  <c r="Y62" i="29" s="1"/>
  <c r="K42" i="17"/>
  <c r="Z64" i="29"/>
  <c r="Y64" i="29" s="1"/>
  <c r="L42" i="17"/>
  <c r="Z60" i="29"/>
  <c r="Y60" i="29" s="1"/>
  <c r="J42" i="17"/>
  <c r="AZ50" i="29"/>
  <c r="AZ18" i="29" s="1"/>
  <c r="BD50" i="29"/>
  <c r="BD18" i="29" s="1"/>
  <c r="BB50" i="29"/>
  <c r="BB18" i="29" s="1"/>
  <c r="AT49" i="29"/>
  <c r="AU16" i="29" s="1"/>
  <c r="O40" i="17" s="1"/>
  <c r="AZ49" i="29"/>
  <c r="AZ16" i="29" s="1"/>
  <c r="BB49" i="29"/>
  <c r="BB16" i="29" s="1"/>
  <c r="CA10" i="29"/>
  <c r="BZ12" i="29"/>
  <c r="BD49" i="29"/>
  <c r="BD16" i="29" s="1"/>
  <c r="Q22" i="17"/>
  <c r="Z70" i="29" l="1"/>
  <c r="Y70" i="29" s="1"/>
  <c r="Z72" i="29"/>
  <c r="Y72" i="29" s="1"/>
  <c r="Z68" i="29"/>
  <c r="Y68" i="29" s="1"/>
  <c r="Z71" i="29"/>
  <c r="Y71" i="29" s="1"/>
  <c r="Z69" i="29"/>
  <c r="Y69" i="29" s="1"/>
  <c r="CA12" i="29"/>
  <c r="AQ6" i="29"/>
  <c r="AQ10" i="29" s="1"/>
  <c r="Z67" i="29"/>
  <c r="Y67" i="29" s="1"/>
  <c r="CI9" i="29" l="1"/>
  <c r="CK10" i="29"/>
  <c r="CK11" i="29" s="1"/>
  <c r="AB14" i="29"/>
  <c r="CI10" i="29"/>
  <c r="CI11" i="29" s="1"/>
  <c r="CE11" i="29" s="1"/>
  <c r="CF11" i="29" s="1"/>
  <c r="L37" i="3"/>
  <c r="L35" i="3"/>
  <c r="L34" i="3"/>
  <c r="L33" i="3"/>
  <c r="L32" i="3"/>
  <c r="L56" i="3"/>
  <c r="F38" i="17" l="1"/>
  <c r="Z14" i="29"/>
  <c r="CK9" i="29"/>
  <c r="AB19" i="29"/>
  <c r="AB17" i="29"/>
  <c r="Z17" i="29" l="1"/>
  <c r="Z53" i="29" s="1"/>
  <c r="Y53" i="29" s="1"/>
  <c r="E38" i="17"/>
  <c r="Z19" i="29"/>
  <c r="Z54" i="29" s="1"/>
  <c r="Y54" i="29" s="1"/>
  <c r="U8" i="31" l="1"/>
  <c r="BF72" i="25"/>
  <c r="L52" i="3"/>
  <c r="I17" i="25"/>
  <c r="AY40" i="25" s="1"/>
  <c r="BA40" i="25" s="1"/>
  <c r="E3" i="25"/>
  <c r="O10" i="25" l="1"/>
  <c r="N11" i="25" s="1"/>
  <c r="BA72" i="25"/>
  <c r="AA73" i="25"/>
  <c r="AA76" i="25"/>
  <c r="AA67" i="25"/>
  <c r="AA70" i="25"/>
  <c r="BL72" i="25"/>
  <c r="AA58" i="25" s="1"/>
  <c r="AA49" i="25"/>
  <c r="AY41" i="25"/>
  <c r="U16" i="31"/>
  <c r="V16" i="31" s="1"/>
  <c r="X8" i="31"/>
  <c r="V8" i="31"/>
  <c r="CJ10" i="25" l="1"/>
  <c r="CK10" i="25" s="1"/>
  <c r="CJ14" i="25"/>
  <c r="CM11" i="25" s="1"/>
  <c r="CJ12" i="25" s="1"/>
  <c r="AD7" i="25" s="1"/>
  <c r="AA43" i="25"/>
  <c r="AA23" i="25" s="1"/>
  <c r="AA84" i="25"/>
  <c r="AA86" i="25"/>
  <c r="M22" i="31"/>
  <c r="BJ72" i="25"/>
  <c r="AA55" i="25" s="1"/>
  <c r="BH72" i="25"/>
  <c r="AA52" i="25" s="1"/>
  <c r="BA41" i="25"/>
  <c r="BA73" i="25" s="1"/>
  <c r="AC43" i="25" s="1"/>
  <c r="AC23" i="25" s="1"/>
  <c r="CK7" i="25"/>
  <c r="CK14" i="25" l="1"/>
  <c r="CS4" i="25"/>
  <c r="CU4" i="25"/>
  <c r="CK12" i="25"/>
  <c r="U17" i="31"/>
  <c r="V17" i="31" s="1"/>
  <c r="AB11" i="25" l="1"/>
  <c r="CS8" i="25"/>
  <c r="CU8" i="25"/>
  <c r="AB12" i="25"/>
  <c r="H30" i="31"/>
  <c r="X34" i="31"/>
  <c r="F34" i="31"/>
  <c r="E32" i="31"/>
  <c r="L32" i="31" l="1"/>
  <c r="M34" i="13"/>
  <c r="M36" i="13"/>
  <c r="H32" i="31" l="1"/>
  <c r="J32" i="31"/>
  <c r="K32" i="31"/>
  <c r="I32" i="31"/>
  <c r="Q34" i="31"/>
  <c r="O34" i="31"/>
  <c r="R34" i="31"/>
  <c r="N34" i="31"/>
  <c r="P34" i="31"/>
  <c r="R32" i="31" l="1"/>
  <c r="T32" i="31"/>
  <c r="N32" i="31"/>
  <c r="O32" i="31"/>
  <c r="Q32" i="31"/>
  <c r="S32" i="31"/>
  <c r="P32" i="31"/>
  <c r="V32" i="31" l="1"/>
  <c r="X32" i="31"/>
  <c r="W32" i="31"/>
  <c r="S33" i="13" l="1"/>
  <c r="B24" i="21" l="1"/>
  <c r="BG27" i="21" l="1"/>
  <c r="BG35" i="21"/>
  <c r="BG39" i="21"/>
  <c r="BG47" i="21"/>
  <c r="BD27" i="21"/>
  <c r="BD35" i="21"/>
  <c r="BD39" i="21"/>
  <c r="BD47" i="21"/>
  <c r="AZ28" i="21"/>
  <c r="BC28" i="21"/>
  <c r="AZ32" i="21"/>
  <c r="BC32" i="21"/>
  <c r="AZ36" i="21"/>
  <c r="BC36" i="21"/>
  <c r="BF36" i="21"/>
  <c r="AZ40" i="21"/>
  <c r="BC40" i="21"/>
  <c r="BF40" i="21"/>
  <c r="AZ44" i="21"/>
  <c r="BC44" i="21"/>
  <c r="AZ48" i="21"/>
  <c r="BC48" i="21"/>
  <c r="AZ24" i="21"/>
  <c r="BF24" i="21"/>
  <c r="BC24" i="21"/>
  <c r="Y24" i="21" l="1"/>
  <c r="R24" i="21"/>
  <c r="U24" i="21"/>
  <c r="L50" i="21" l="1"/>
  <c r="L48" i="21"/>
  <c r="L46" i="21"/>
  <c r="L44" i="21"/>
  <c r="L42" i="21"/>
  <c r="L40" i="21"/>
  <c r="L38" i="21"/>
  <c r="L36" i="21"/>
  <c r="L34" i="21"/>
  <c r="L32" i="21"/>
  <c r="L30" i="21"/>
  <c r="L28" i="21"/>
  <c r="L26" i="21"/>
  <c r="L24" i="21"/>
  <c r="S24" i="21"/>
  <c r="AQ28" i="21"/>
  <c r="AK28" i="21"/>
  <c r="AH28" i="21"/>
  <c r="AE28" i="21"/>
  <c r="AB28" i="21"/>
  <c r="Y28" i="21"/>
  <c r="G16" i="21"/>
  <c r="U28" i="21"/>
  <c r="R32" i="21"/>
  <c r="T28" i="21"/>
  <c r="K16" i="21"/>
  <c r="T26" i="21" s="1"/>
  <c r="G53" i="21" l="1"/>
  <c r="I53" i="21"/>
  <c r="T24" i="21"/>
  <c r="V24" i="21" s="1"/>
  <c r="R48" i="21"/>
  <c r="K50" i="21"/>
  <c r="K46" i="21"/>
  <c r="K42" i="21"/>
  <c r="K38" i="21"/>
  <c r="K34" i="21"/>
  <c r="U32" i="21"/>
  <c r="AQ32" i="21"/>
  <c r="Y32" i="21"/>
  <c r="K30" i="21"/>
  <c r="K26" i="21"/>
  <c r="AB24" i="21"/>
  <c r="K17" i="21"/>
  <c r="BN13" i="21"/>
  <c r="AF8" i="21" s="1"/>
  <c r="BM13" i="21"/>
  <c r="AC8" i="21" s="1"/>
  <c r="BR7" i="21"/>
  <c r="K10" i="21"/>
  <c r="K9" i="21"/>
  <c r="BN8" i="21"/>
  <c r="BM8" i="21"/>
  <c r="K8" i="21"/>
  <c r="AF4" i="21"/>
  <c r="AC4" i="21"/>
  <c r="AZ26" i="21" l="1"/>
  <c r="BC26" i="21"/>
  <c r="BF26" i="21"/>
  <c r="R38" i="21"/>
  <c r="S38" i="21" s="1"/>
  <c r="AZ38" i="21"/>
  <c r="BC38" i="21"/>
  <c r="BF38" i="21"/>
  <c r="AZ42" i="21"/>
  <c r="BC42" i="21"/>
  <c r="BF42" i="21"/>
  <c r="T46" i="21"/>
  <c r="BF46" i="21"/>
  <c r="AZ46" i="21"/>
  <c r="BC46" i="21"/>
  <c r="AZ30" i="21"/>
  <c r="BC30" i="21"/>
  <c r="BC34" i="21"/>
  <c r="BF34" i="21"/>
  <c r="AZ34" i="21"/>
  <c r="AZ50" i="21"/>
  <c r="BC50" i="21"/>
  <c r="R30" i="21"/>
  <c r="S30" i="21" s="1"/>
  <c r="R28" i="21"/>
  <c r="U26" i="21"/>
  <c r="R26" i="21"/>
  <c r="S26" i="21" s="1"/>
  <c r="V26" i="21" s="1"/>
  <c r="R42" i="21"/>
  <c r="S42" i="21" s="1"/>
  <c r="R50" i="21"/>
  <c r="S50" i="21" s="1"/>
  <c r="AH32" i="21"/>
  <c r="R40" i="21"/>
  <c r="S40" i="21" s="1"/>
  <c r="AR32" i="21"/>
  <c r="AT32" i="21" s="1"/>
  <c r="AK32" i="21"/>
  <c r="AQ26" i="21"/>
  <c r="BR9" i="21"/>
  <c r="BR8" i="21"/>
  <c r="AE34" i="21"/>
  <c r="AQ34" i="21"/>
  <c r="AE36" i="21"/>
  <c r="AQ24" i="21"/>
  <c r="AH24" i="21"/>
  <c r="AH26" i="21"/>
  <c r="U30" i="21"/>
  <c r="AE30" i="21"/>
  <c r="T34" i="21"/>
  <c r="T32" i="21"/>
  <c r="AB32" i="21"/>
  <c r="U34" i="21"/>
  <c r="AK34" i="21"/>
  <c r="R36" i="21"/>
  <c r="S36" i="21" s="1"/>
  <c r="AQ38" i="21"/>
  <c r="AH38" i="21"/>
  <c r="AB38" i="21"/>
  <c r="U38" i="21"/>
  <c r="AK38" i="21"/>
  <c r="AE38" i="21"/>
  <c r="Y38" i="21"/>
  <c r="T36" i="21"/>
  <c r="AB36" i="21"/>
  <c r="AK36" i="21"/>
  <c r="T44" i="21"/>
  <c r="K7" i="21"/>
  <c r="K11" i="21"/>
  <c r="AH30" i="21"/>
  <c r="AE32" i="21"/>
  <c r="R34" i="21"/>
  <c r="S34" i="21" s="1"/>
  <c r="Y34" i="21"/>
  <c r="AH34" i="21"/>
  <c r="Y36" i="21"/>
  <c r="AQ36" i="21"/>
  <c r="T38" i="21"/>
  <c r="BM7" i="21"/>
  <c r="Z13" i="21" s="1"/>
  <c r="Y30" i="21"/>
  <c r="AQ30" i="21"/>
  <c r="U36" i="21"/>
  <c r="T30" i="21"/>
  <c r="AB30" i="21"/>
  <c r="AK30" i="21"/>
  <c r="AB34" i="21"/>
  <c r="AH36" i="21"/>
  <c r="U40" i="21"/>
  <c r="AB40" i="21"/>
  <c r="AH40" i="21"/>
  <c r="AQ40" i="21"/>
  <c r="U42" i="21"/>
  <c r="AB42" i="21"/>
  <c r="AH42" i="21"/>
  <c r="AQ42" i="21"/>
  <c r="AR42" i="21" s="1"/>
  <c r="Y44" i="21"/>
  <c r="AE44" i="21"/>
  <c r="AK44" i="21"/>
  <c r="Y46" i="21"/>
  <c r="AE46" i="21"/>
  <c r="AK46" i="21"/>
  <c r="U48" i="21"/>
  <c r="AB48" i="21"/>
  <c r="AH48" i="21"/>
  <c r="AQ48" i="21"/>
  <c r="U50" i="21"/>
  <c r="AB50" i="21"/>
  <c r="AH50" i="21"/>
  <c r="AQ50" i="21"/>
  <c r="Y40" i="21"/>
  <c r="AE40" i="21"/>
  <c r="AK40" i="21"/>
  <c r="Y42" i="21"/>
  <c r="AE42" i="21"/>
  <c r="AK42" i="21"/>
  <c r="U44" i="21"/>
  <c r="AB44" i="21"/>
  <c r="AH44" i="21"/>
  <c r="AQ44" i="21"/>
  <c r="U46" i="21"/>
  <c r="AB46" i="21"/>
  <c r="AH46" i="21"/>
  <c r="AQ46" i="21"/>
  <c r="S48" i="21"/>
  <c r="Y48" i="21"/>
  <c r="AE48" i="21"/>
  <c r="AK48" i="21"/>
  <c r="Y50" i="21"/>
  <c r="AE50" i="21"/>
  <c r="AK50" i="21"/>
  <c r="AE24" i="21"/>
  <c r="AK24" i="21"/>
  <c r="T40" i="21"/>
  <c r="T42" i="21"/>
  <c r="R44" i="21"/>
  <c r="S44" i="21" s="1"/>
  <c r="R46" i="21"/>
  <c r="S46" i="21" s="1"/>
  <c r="T48" i="21"/>
  <c r="T50" i="21"/>
  <c r="AR48" i="21" l="1"/>
  <c r="AS48" i="21" s="1"/>
  <c r="AR38" i="21"/>
  <c r="S28" i="21"/>
  <c r="V28" i="21" s="1"/>
  <c r="AR28" i="21"/>
  <c r="S53" i="21"/>
  <c r="V38" i="21"/>
  <c r="V42" i="21"/>
  <c r="AT42" i="21"/>
  <c r="AS42" i="21"/>
  <c r="AT38" i="21"/>
  <c r="AS38" i="21"/>
  <c r="AR44" i="21"/>
  <c r="AS44" i="21" s="1"/>
  <c r="AR50" i="21"/>
  <c r="AT50" i="21" s="1"/>
  <c r="V36" i="21"/>
  <c r="V50" i="21"/>
  <c r="AR40" i="21"/>
  <c r="AS40" i="21" s="1"/>
  <c r="AR36" i="21"/>
  <c r="AS36" i="21" s="1"/>
  <c r="AR46" i="21"/>
  <c r="AT46" i="21" s="1"/>
  <c r="S32" i="21"/>
  <c r="V32" i="21" s="1"/>
  <c r="AS32" i="21"/>
  <c r="AR30" i="21"/>
  <c r="AT30" i="21" s="1"/>
  <c r="AR34" i="21"/>
  <c r="AS34" i="21" s="1"/>
  <c r="AR24" i="21"/>
  <c r="AS24" i="21" s="1"/>
  <c r="AC6" i="21"/>
  <c r="AE26" i="21"/>
  <c r="AB26" i="21"/>
  <c r="Y26" i="21"/>
  <c r="AK26" i="21"/>
  <c r="V46" i="21"/>
  <c r="V44" i="21"/>
  <c r="V30" i="21"/>
  <c r="V48" i="21"/>
  <c r="BS7" i="21"/>
  <c r="BS9" i="21" s="1"/>
  <c r="BN7" i="21"/>
  <c r="V40" i="21"/>
  <c r="V34" i="21"/>
  <c r="AT48" i="21" l="1"/>
  <c r="AT44" i="21"/>
  <c r="AS28" i="21"/>
  <c r="AT28" i="21"/>
  <c r="AC26" i="21"/>
  <c r="AT36" i="21"/>
  <c r="AT40" i="21"/>
  <c r="AT34" i="21"/>
  <c r="AS50" i="21"/>
  <c r="AS30" i="21"/>
  <c r="AT24" i="21"/>
  <c r="AS46" i="21"/>
  <c r="S52" i="21"/>
  <c r="V52" i="21"/>
  <c r="V15" i="21" s="1"/>
  <c r="BS8" i="21"/>
  <c r="AF6" i="21" s="1"/>
  <c r="AR26" i="21"/>
  <c r="AT52" i="21" l="1"/>
  <c r="AP15" i="21" s="1"/>
  <c r="AI44" i="21"/>
  <c r="AF28" i="21"/>
  <c r="AC28" i="21"/>
  <c r="AL28" i="21"/>
  <c r="AI28" i="21"/>
  <c r="Z28" i="21"/>
  <c r="AX28" i="21" s="1"/>
  <c r="V53" i="21"/>
  <c r="W17" i="21" s="1"/>
  <c r="BX7" i="21" s="1"/>
  <c r="AC42" i="21"/>
  <c r="AI42" i="21"/>
  <c r="AL42" i="21"/>
  <c r="Z42" i="21"/>
  <c r="AX42" i="21" s="1"/>
  <c r="AF42" i="21"/>
  <c r="AL38" i="21"/>
  <c r="AI38" i="21"/>
  <c r="AF38" i="21"/>
  <c r="Z38" i="21"/>
  <c r="AX38" i="21" s="1"/>
  <c r="AC38" i="21"/>
  <c r="Z46" i="21"/>
  <c r="AX46" i="21" s="1"/>
  <c r="AF50" i="21"/>
  <c r="AC50" i="21"/>
  <c r="AL50" i="21"/>
  <c r="AI50" i="21"/>
  <c r="Z50" i="21"/>
  <c r="AX50" i="21" s="1"/>
  <c r="AF44" i="21"/>
  <c r="BV7" i="21"/>
  <c r="BM9" i="21" s="1"/>
  <c r="BM11" i="21" s="1"/>
  <c r="AC5" i="21" s="1"/>
  <c r="AL24" i="21"/>
  <c r="Z32" i="21"/>
  <c r="AX32" i="21" s="1"/>
  <c r="AL48" i="21"/>
  <c r="Z24" i="21"/>
  <c r="AX24" i="21" s="1"/>
  <c r="AF36" i="21"/>
  <c r="T15" i="21"/>
  <c r="AC32" i="21"/>
  <c r="AC24" i="21"/>
  <c r="AI48" i="21"/>
  <c r="AL36" i="21"/>
  <c r="AC40" i="21"/>
  <c r="AF32" i="21"/>
  <c r="AL32" i="21"/>
  <c r="Z44" i="21"/>
  <c r="AX44" i="21" s="1"/>
  <c r="AF24" i="21"/>
  <c r="AI24" i="21"/>
  <c r="Z48" i="21"/>
  <c r="AX48" i="21" s="1"/>
  <c r="AF40" i="21"/>
  <c r="Z40" i="21"/>
  <c r="AX40" i="21" s="1"/>
  <c r="AC48" i="21"/>
  <c r="AF48" i="21"/>
  <c r="AC44" i="21"/>
  <c r="AL44" i="21"/>
  <c r="AI40" i="21"/>
  <c r="AI32" i="21"/>
  <c r="Z36" i="21"/>
  <c r="AX36" i="21" s="1"/>
  <c r="AL40" i="21"/>
  <c r="AC36" i="21"/>
  <c r="AI36" i="21"/>
  <c r="T17" i="21"/>
  <c r="AF46" i="21"/>
  <c r="AC46" i="21"/>
  <c r="AL30" i="21"/>
  <c r="Z26" i="21"/>
  <c r="AX26" i="21" s="1"/>
  <c r="AI46" i="21"/>
  <c r="AL26" i="21"/>
  <c r="AC34" i="21"/>
  <c r="AF30" i="21"/>
  <c r="AC30" i="21"/>
  <c r="Z34" i="21"/>
  <c r="AX34" i="21" s="1"/>
  <c r="AI34" i="21"/>
  <c r="AI26" i="21"/>
  <c r="AF34" i="21"/>
  <c r="AL34" i="21"/>
  <c r="AL46" i="21"/>
  <c r="AI30" i="21"/>
  <c r="Z30" i="21"/>
  <c r="AX30" i="21" s="1"/>
  <c r="AF26" i="21"/>
  <c r="AT26" i="21"/>
  <c r="AT53" i="21" s="1"/>
  <c r="AQ53" i="21" s="1"/>
  <c r="AS26" i="21"/>
  <c r="AQ52" i="21" l="1"/>
  <c r="AR15" i="21" s="1"/>
  <c r="BA26" i="21"/>
  <c r="BG26" i="21"/>
  <c r="BD26" i="21"/>
  <c r="BA36" i="21"/>
  <c r="BG36" i="21"/>
  <c r="BD36" i="21"/>
  <c r="BA44" i="21"/>
  <c r="BD44" i="21"/>
  <c r="BA32" i="21"/>
  <c r="BD32" i="21"/>
  <c r="BA42" i="21"/>
  <c r="BG42" i="21"/>
  <c r="BD42" i="21"/>
  <c r="BA48" i="21"/>
  <c r="BD48" i="21"/>
  <c r="BA46" i="21"/>
  <c r="BG46" i="21"/>
  <c r="BD46" i="21"/>
  <c r="BD28" i="21"/>
  <c r="BA28" i="21"/>
  <c r="BG34" i="21"/>
  <c r="BD34" i="21"/>
  <c r="BA34" i="21"/>
  <c r="BG24" i="21"/>
  <c r="BD24" i="21"/>
  <c r="BA24" i="21"/>
  <c r="BA30" i="21"/>
  <c r="BD30" i="21"/>
  <c r="BA40" i="21"/>
  <c r="BG40" i="21"/>
  <c r="BD40" i="21"/>
  <c r="BA38" i="21"/>
  <c r="BG38" i="21"/>
  <c r="BD38" i="21"/>
  <c r="AI52" i="21"/>
  <c r="AI15" i="21" s="1"/>
  <c r="AF52" i="21"/>
  <c r="AF15" i="21" s="1"/>
  <c r="AL52" i="21"/>
  <c r="AL15" i="21" s="1"/>
  <c r="AC52" i="21"/>
  <c r="AC15" i="21" s="1"/>
  <c r="Z52" i="21"/>
  <c r="AX52" i="21" s="1"/>
  <c r="AI53" i="21"/>
  <c r="AI17" i="21" s="1"/>
  <c r="Z53" i="21"/>
  <c r="AF53" i="21"/>
  <c r="AF17" i="21" s="1"/>
  <c r="AL53" i="21"/>
  <c r="AL17" i="21" s="1"/>
  <c r="AC53" i="21"/>
  <c r="AC17" i="21" s="1"/>
  <c r="U15" i="21"/>
  <c r="U13" i="21"/>
  <c r="AP17" i="21"/>
  <c r="AR17" i="21"/>
  <c r="U17" i="21"/>
  <c r="BN9" i="21"/>
  <c r="BN11" i="21" s="1"/>
  <c r="AF5" i="21" s="1"/>
  <c r="AZ52" i="21" l="1"/>
  <c r="S57" i="21"/>
  <c r="Z15" i="21"/>
  <c r="BF52" i="21"/>
  <c r="Z17" i="21"/>
  <c r="AX53" i="21"/>
  <c r="BF53" i="21" s="1"/>
  <c r="T59" i="21"/>
  <c r="S60" i="21"/>
  <c r="T58" i="21"/>
  <c r="S59" i="21"/>
  <c r="T57" i="21"/>
  <c r="T60" i="21"/>
  <c r="S58" i="21"/>
  <c r="T61" i="21" l="1"/>
  <c r="AZ53" i="21"/>
  <c r="BC52" i="21"/>
  <c r="BC53" i="21"/>
  <c r="S61" i="21"/>
  <c r="F7" i="17"/>
  <c r="T64" i="21" l="1"/>
  <c r="T63" i="21"/>
  <c r="T62" i="21"/>
  <c r="O25" i="17" l="1"/>
  <c r="O27" i="17"/>
  <c r="O24" i="17"/>
  <c r="O23" i="17"/>
  <c r="O26" i="17"/>
  <c r="C15" i="17" l="1"/>
  <c r="L14" i="17"/>
  <c r="H15" i="17"/>
  <c r="H14" i="17"/>
  <c r="L8" i="17"/>
  <c r="L7" i="17"/>
  <c r="L6" i="17"/>
  <c r="H11" i="17"/>
  <c r="H10" i="17"/>
  <c r="H9" i="17"/>
  <c r="H8" i="17"/>
  <c r="H7" i="17"/>
  <c r="H6" i="17"/>
  <c r="C9" i="17"/>
  <c r="C8" i="17"/>
  <c r="C7" i="17"/>
  <c r="C6" i="17"/>
  <c r="C14" i="17"/>
  <c r="F15" i="17" l="1"/>
  <c r="J14" i="17" l="1"/>
  <c r="C198" i="3"/>
  <c r="C196" i="3"/>
  <c r="C194" i="3"/>
  <c r="AD4" i="25" s="1"/>
  <c r="C192" i="3"/>
  <c r="F30" i="31" l="1"/>
  <c r="F32" i="31"/>
  <c r="F14" i="17"/>
  <c r="E30" i="31" l="1"/>
  <c r="K2" i="13"/>
  <c r="S34" i="13" l="1"/>
  <c r="BM10" i="21" s="1"/>
  <c r="BM12" i="21" s="1"/>
  <c r="AC7" i="21" s="1"/>
  <c r="AC9" i="21" s="1"/>
  <c r="J15" i="17"/>
  <c r="F2" i="17"/>
  <c r="J2" i="17" s="1"/>
  <c r="M14" i="17" l="1"/>
  <c r="BN10" i="21"/>
  <c r="BN12" i="21" s="1"/>
  <c r="AF7" i="21" s="1"/>
  <c r="AF9" i="21" s="1"/>
  <c r="BX9" i="21" s="1"/>
  <c r="BX10" i="21" s="1"/>
  <c r="BS10" i="21" s="1"/>
  <c r="V13" i="21"/>
  <c r="V16" i="21" s="1"/>
  <c r="BV9" i="21"/>
  <c r="BV10" i="21" s="1"/>
  <c r="BR10" i="21" s="1"/>
  <c r="BV8" i="21"/>
  <c r="T13" i="21" s="1"/>
  <c r="BX8" i="21" l="1"/>
  <c r="W13" i="21"/>
  <c r="W18" i="21" s="1"/>
  <c r="T18" i="21"/>
  <c r="T16" i="21"/>
  <c r="L58" i="3"/>
  <c r="L24" i="3"/>
  <c r="L22" i="3"/>
  <c r="L20" i="3"/>
  <c r="L19" i="3"/>
  <c r="L21" i="3"/>
  <c r="L57" i="3"/>
  <c r="L16" i="3"/>
  <c r="L17" i="3"/>
  <c r="L18" i="3"/>
  <c r="L54" i="3"/>
  <c r="L30" i="3"/>
  <c r="L29" i="3"/>
  <c r="L53" i="3"/>
  <c r="L10" i="3"/>
  <c r="L8" i="3"/>
  <c r="L6" i="3"/>
  <c r="S56" i="21" l="1"/>
  <c r="T56" i="21"/>
  <c r="BF32" i="21"/>
  <c r="BG32" i="21" s="1"/>
  <c r="BF44" i="21"/>
  <c r="BG44" i="21" s="1"/>
  <c r="BF48" i="21"/>
  <c r="BG48" i="21" s="1"/>
  <c r="BF50" i="21"/>
  <c r="BF28" i="21"/>
  <c r="BG28" i="21" s="1"/>
  <c r="BF30" i="21"/>
  <c r="BG30" i="21" s="1"/>
  <c r="B4" i="8" l="1"/>
  <c r="B5" i="8" s="1"/>
  <c r="AD9" i="25" l="1"/>
  <c r="CU9" i="25" l="1"/>
  <c r="AE10" i="25"/>
  <c r="AE11" i="25" s="1"/>
  <c r="AD10" i="25"/>
  <c r="AD11" i="25" s="1"/>
  <c r="Y12" i="25"/>
  <c r="AC22" i="25" s="1"/>
  <c r="AA22" i="25" l="1"/>
  <c r="AA42" i="25"/>
  <c r="X84" i="25"/>
  <c r="X86" i="25"/>
  <c r="Y46" i="25"/>
  <c r="AC42" i="25"/>
  <c r="X79" i="25"/>
  <c r="X81" i="25"/>
  <c r="X46" i="25"/>
  <c r="CU6" i="25"/>
  <c r="CU7" i="25" s="1"/>
  <c r="CU5" i="25"/>
  <c r="Y40" i="25" s="1"/>
  <c r="Y21" i="25" s="1"/>
  <c r="AD21" i="25" s="1"/>
  <c r="Y43" i="25"/>
  <c r="X70" i="25"/>
  <c r="X64" i="25"/>
  <c r="X43" i="25"/>
  <c r="AC12" i="25"/>
  <c r="X52" i="25"/>
  <c r="X76" i="25"/>
  <c r="X58" i="25"/>
  <c r="X49" i="25"/>
  <c r="X55" i="25"/>
  <c r="X67" i="25"/>
  <c r="X73" i="25"/>
  <c r="AD43" i="25" l="1"/>
  <c r="Y23" i="25"/>
  <c r="X23" i="25"/>
  <c r="AB23" i="25" s="1"/>
  <c r="AD40" i="25"/>
  <c r="AD23" i="25"/>
  <c r="CS9" i="25"/>
  <c r="CS6" i="25"/>
  <c r="CS7" i="25" s="1"/>
  <c r="CS5" i="25"/>
  <c r="AD58" i="25"/>
  <c r="AB58" i="25"/>
  <c r="AD52" i="25"/>
  <c r="AB52" i="25"/>
  <c r="AD46" i="25"/>
  <c r="AB46" i="25"/>
  <c r="AD55" i="25"/>
  <c r="AB55" i="25"/>
  <c r="AD49" i="25"/>
  <c r="AB49" i="25"/>
  <c r="AB43" i="25"/>
  <c r="X40" i="25" l="1"/>
  <c r="AK40" i="25" l="1"/>
  <c r="X21" i="25"/>
  <c r="AB21" i="25" s="1"/>
  <c r="AB40"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Dela Rue</author>
  </authors>
  <commentList>
    <comment ref="CU5" authorId="0" shapeId="0" xr:uid="{9AEE994E-A696-44A9-9C83-CE456E91C04A}">
      <text>
        <r>
          <rPr>
            <b/>
            <sz val="9"/>
            <color indexed="81"/>
            <rFont val="Tahoma"/>
            <family val="2"/>
          </rPr>
          <t>Brian Dela Rue:</t>
        </r>
        <r>
          <rPr>
            <sz val="9"/>
            <color indexed="81"/>
            <rFont val="Tahoma"/>
            <family val="2"/>
          </rPr>
          <t xml:space="preserve">
Changed this to Option 2 ME at AG12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Roshean Woods</author>
  </authors>
  <commentList>
    <comment ref="E31" authorId="0" shapeId="0" xr:uid="{D3F7F8C0-2499-415F-9710-35D78A44B061}">
      <text>
        <r>
          <rPr>
            <sz val="9"/>
            <color indexed="81"/>
            <rFont val="Tahoma"/>
            <family val="2"/>
          </rPr>
          <t xml:space="preserve">Enter whether you are paying for your feed on a wet weight or dry weight basis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Brian Dela Rue</author>
  </authors>
  <commentList>
    <comment ref="Q62" authorId="0" shapeId="0" xr:uid="{00000000-0006-0000-0800-000001000000}">
      <text>
        <r>
          <rPr>
            <b/>
            <sz val="9"/>
            <color indexed="81"/>
            <rFont val="Tahoma"/>
            <family val="2"/>
          </rPr>
          <t>Brian Dela Rue:</t>
        </r>
        <r>
          <rPr>
            <sz val="9"/>
            <color indexed="81"/>
            <rFont val="Tahoma"/>
            <family val="2"/>
          </rPr>
          <t xml:space="preserve">
Changed equantion to be AND rather than 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Brian Dela Rue</author>
  </authors>
  <commentList>
    <comment ref="H16" authorId="0" shapeId="0" xr:uid="{00000000-0006-0000-0B00-000001000000}">
      <text>
        <r>
          <rPr>
            <b/>
            <sz val="9"/>
            <color indexed="81"/>
            <rFont val="Tahoma"/>
            <family val="2"/>
          </rPr>
          <t>Brian Dela Rue:</t>
        </r>
        <r>
          <rPr>
            <sz val="9"/>
            <color indexed="81"/>
            <rFont val="Tahoma"/>
            <family val="2"/>
          </rPr>
          <t xml:space="preserve">
was 3.0</t>
        </r>
      </text>
    </comment>
  </commentList>
</comments>
</file>

<file path=xl/sharedStrings.xml><?xml version="1.0" encoding="utf-8"?>
<sst xmlns="http://schemas.openxmlformats.org/spreadsheetml/2006/main" count="1534" uniqueCount="653">
  <si>
    <t>PKE</t>
  </si>
  <si>
    <t>ME</t>
  </si>
  <si>
    <t>Eaten</t>
  </si>
  <si>
    <t>Total ME requirements</t>
  </si>
  <si>
    <t>Barley</t>
  </si>
  <si>
    <t>Baleage</t>
  </si>
  <si>
    <t>Supplement</t>
  </si>
  <si>
    <t xml:space="preserve">DM </t>
  </si>
  <si>
    <t>%</t>
  </si>
  <si>
    <t>MJ /kg DM</t>
  </si>
  <si>
    <t>CP</t>
  </si>
  <si>
    <t>% DM</t>
  </si>
  <si>
    <t>NDF</t>
  </si>
  <si>
    <t>SSS</t>
  </si>
  <si>
    <t>Chicory</t>
  </si>
  <si>
    <t>Fodder beet</t>
  </si>
  <si>
    <t>Kale</t>
  </si>
  <si>
    <t>Swedes</t>
  </si>
  <si>
    <t>Turnips</t>
  </si>
  <si>
    <t>Wheat</t>
  </si>
  <si>
    <t>Maize grain</t>
  </si>
  <si>
    <t>Oats</t>
  </si>
  <si>
    <t>Soyabean meal</t>
  </si>
  <si>
    <t>Soyabean hulls</t>
  </si>
  <si>
    <t>Brewers grain</t>
  </si>
  <si>
    <t>Broll</t>
  </si>
  <si>
    <t>Molasses</t>
  </si>
  <si>
    <t>Tapioca</t>
  </si>
  <si>
    <t>Urea</t>
  </si>
  <si>
    <t>starch</t>
  </si>
  <si>
    <t>% SSS</t>
  </si>
  <si>
    <t>fat</t>
  </si>
  <si>
    <t>Potatoes</t>
  </si>
  <si>
    <t>Apple pomace</t>
  </si>
  <si>
    <t>LWT</t>
  </si>
  <si>
    <t>maintenance</t>
  </si>
  <si>
    <t>ME for milksolids</t>
  </si>
  <si>
    <t>flat</t>
  </si>
  <si>
    <t>rolling</t>
  </si>
  <si>
    <t>hilly</t>
  </si>
  <si>
    <t>pregnancy</t>
  </si>
  <si>
    <t>in-shed</t>
  </si>
  <si>
    <t>feed pad</t>
  </si>
  <si>
    <t>in trailer</t>
  </si>
  <si>
    <t>in paddock wet conditions</t>
  </si>
  <si>
    <t>per kg walked</t>
  </si>
  <si>
    <t>total activity</t>
  </si>
  <si>
    <t>total MS production</t>
  </si>
  <si>
    <t>daily BCS gain/loss</t>
  </si>
  <si>
    <t>Total kg DM offered</t>
  </si>
  <si>
    <t>Difference in DMI (kg DM)</t>
  </si>
  <si>
    <t xml:space="preserve">monthly BCS gain </t>
  </si>
  <si>
    <t>daily BCS gain</t>
  </si>
  <si>
    <t>monthly LWT gain</t>
  </si>
  <si>
    <t>daily LWT gain</t>
  </si>
  <si>
    <t>BCS</t>
  </si>
  <si>
    <t>kg</t>
  </si>
  <si>
    <t>c/MJ ME</t>
  </si>
  <si>
    <t>DM%</t>
  </si>
  <si>
    <t>c/kg DM</t>
  </si>
  <si>
    <t>Pasture autumn and winter</t>
  </si>
  <si>
    <t>silage lucerne</t>
  </si>
  <si>
    <t>Pasture summer stalky</t>
  </si>
  <si>
    <t>Stage of lactation</t>
  </si>
  <si>
    <t>mid</t>
  </si>
  <si>
    <t>j</t>
  </si>
  <si>
    <t>x</t>
  </si>
  <si>
    <t>f</t>
  </si>
  <si>
    <t>breed</t>
  </si>
  <si>
    <t>Jersey</t>
  </si>
  <si>
    <t>Friesian</t>
  </si>
  <si>
    <t>cross-bred</t>
  </si>
  <si>
    <t>12 weeks before calving</t>
  </si>
  <si>
    <t>8 weeks before calving</t>
  </si>
  <si>
    <t>2 weeks before calving</t>
  </si>
  <si>
    <t>4 weeks before calving</t>
  </si>
  <si>
    <t>energy density of diet</t>
  </si>
  <si>
    <t>wk precalving</t>
  </si>
  <si>
    <t>milk production</t>
  </si>
  <si>
    <t>BCS gain/loss mthly</t>
  </si>
  <si>
    <t>ME loss/d</t>
  </si>
  <si>
    <t>ME gain/d</t>
  </si>
  <si>
    <t>change LWT/d</t>
  </si>
  <si>
    <t>stage of lactation</t>
  </si>
  <si>
    <t>DM difference</t>
  </si>
  <si>
    <t>Average ME of diet (MJ ME)</t>
  </si>
  <si>
    <t>Difference in ME  intake (MJ)</t>
  </si>
  <si>
    <t>Total DMI requirements (kg DM)</t>
  </si>
  <si>
    <t>Hay pasture good</t>
  </si>
  <si>
    <t>grazing - good conditions</t>
  </si>
  <si>
    <t>% diet</t>
  </si>
  <si>
    <t>Sol P</t>
  </si>
  <si>
    <t>Degrad P</t>
  </si>
  <si>
    <t>BP P</t>
  </si>
  <si>
    <t>% CP</t>
  </si>
  <si>
    <t>Bypass</t>
  </si>
  <si>
    <t>Soluble</t>
  </si>
  <si>
    <t>Degradable</t>
  </si>
  <si>
    <t>kolver</t>
  </si>
  <si>
    <t>nrc2001</t>
  </si>
  <si>
    <t>Feed</t>
  </si>
  <si>
    <t>est</t>
  </si>
  <si>
    <t>RDP = rumen degradable protein</t>
  </si>
  <si>
    <t>UDP = undegradable dietary protein</t>
  </si>
  <si>
    <t>Today</t>
  </si>
  <si>
    <t>Terrain</t>
  </si>
  <si>
    <t>Breed</t>
  </si>
  <si>
    <t>Weeks until PSC</t>
  </si>
  <si>
    <t>PASTURE</t>
  </si>
  <si>
    <t>Feeding method</t>
  </si>
  <si>
    <t>Current</t>
  </si>
  <si>
    <t>Proposed</t>
  </si>
  <si>
    <t>$/Cow</t>
  </si>
  <si>
    <t>$ per cow</t>
  </si>
  <si>
    <t>CURRENT</t>
  </si>
  <si>
    <t>PROPOSED</t>
  </si>
  <si>
    <t>Crude protein</t>
  </si>
  <si>
    <t>COST OF FEED</t>
  </si>
  <si>
    <t>Starch</t>
  </si>
  <si>
    <t>Fat</t>
  </si>
  <si>
    <t>DM</t>
  </si>
  <si>
    <t>Protein</t>
  </si>
  <si>
    <t>SS</t>
  </si>
  <si>
    <t>Dry/Wet</t>
  </si>
  <si>
    <t>$</t>
  </si>
  <si>
    <t>Dry</t>
  </si>
  <si>
    <t>Wet</t>
  </si>
  <si>
    <t>Cows in mob</t>
  </si>
  <si>
    <t>Calcs from this date (optional)</t>
  </si>
  <si>
    <t>Feed 1</t>
  </si>
  <si>
    <t>Feed 2</t>
  </si>
  <si>
    <t>Feed 3</t>
  </si>
  <si>
    <t>Feed 4</t>
  </si>
  <si>
    <t>Feed 5</t>
  </si>
  <si>
    <t>Feed 6</t>
  </si>
  <si>
    <t>Minerals  with conc. supplement  Y/N?</t>
  </si>
  <si>
    <t>BCS - Herd avg</t>
  </si>
  <si>
    <t>BCS (herd avg)</t>
  </si>
  <si>
    <t>Rotation length</t>
  </si>
  <si>
    <t>KgDM</t>
  </si>
  <si>
    <t>Util.</t>
  </si>
  <si>
    <t>in diet</t>
  </si>
  <si>
    <t>PROTEIN</t>
  </si>
  <si>
    <t>STARCH</t>
  </si>
  <si>
    <t>FAT</t>
  </si>
  <si>
    <t>% S</t>
  </si>
  <si>
    <t>FEEDING METHOD</t>
  </si>
  <si>
    <t>Daily walking distance (km)</t>
  </si>
  <si>
    <t>ENERGY REQUIREMENTS</t>
  </si>
  <si>
    <t>ENERGY SUPPLY</t>
  </si>
  <si>
    <t>MOB INPUTS</t>
  </si>
  <si>
    <t>WARNINGS</t>
  </si>
  <si>
    <t xml:space="preserve"> INPUTS</t>
  </si>
  <si>
    <t>CALCULATIONS</t>
  </si>
  <si>
    <t>MJME</t>
  </si>
  <si>
    <t>Background calcs (these could be hidden or somewhere else)</t>
  </si>
  <si>
    <t>-</t>
  </si>
  <si>
    <t>&gt;35</t>
  </si>
  <si>
    <t>KEY</t>
  </si>
  <si>
    <t>Select from drop-down menu</t>
  </si>
  <si>
    <t>Calculated value</t>
  </si>
  <si>
    <t>FARM  INPUTS</t>
  </si>
  <si>
    <t>Available (t)</t>
  </si>
  <si>
    <t>STATS</t>
  </si>
  <si>
    <t>RECOMMENDED</t>
  </si>
  <si>
    <t>&lt;6</t>
  </si>
  <si>
    <t>@MJME</t>
  </si>
  <si>
    <t>Cost</t>
  </si>
  <si>
    <t>$/t</t>
  </si>
  <si>
    <t>Wet/Dry</t>
  </si>
  <si>
    <t>Wt</t>
  </si>
  <si>
    <t>$ for mob</t>
  </si>
  <si>
    <t>&lt;30</t>
  </si>
  <si>
    <t>&lt;38</t>
  </si>
  <si>
    <t>DIET CHECK</t>
  </si>
  <si>
    <t>COST CHECK</t>
  </si>
  <si>
    <t>FARM INFO</t>
  </si>
  <si>
    <t>FARM</t>
  </si>
  <si>
    <t>COWS</t>
  </si>
  <si>
    <t>YES</t>
  </si>
  <si>
    <t>NO</t>
  </si>
  <si>
    <t>MOB INFO</t>
  </si>
  <si>
    <t>FEED</t>
  </si>
  <si>
    <t>Offered (kg DM)</t>
  </si>
  <si>
    <t>TODAY</t>
  </si>
  <si>
    <t>kg DM/cow</t>
  </si>
  <si>
    <t>CROPS/FORAGE/SUPPLEMENT on hand/contract</t>
  </si>
  <si>
    <t xml:space="preserve"> The 5 Step Approach</t>
  </si>
  <si>
    <t>Monthly BCS loss/gain</t>
  </si>
  <si>
    <t>*</t>
  </si>
  <si>
    <t>Out of recommended range</t>
  </si>
  <si>
    <t>Pasture</t>
  </si>
  <si>
    <t>Feed  2</t>
  </si>
  <si>
    <t>Feed  5</t>
  </si>
  <si>
    <t>$/Mob per day</t>
  </si>
  <si>
    <t>$/Cow per day</t>
  </si>
  <si>
    <t>ENERGY</t>
  </si>
  <si>
    <t>COMPOSITION</t>
  </si>
  <si>
    <t>Milk solids (kg MS/cow/day)</t>
  </si>
  <si>
    <t>FEED ON HAND/CONTRACT</t>
  </si>
  <si>
    <t>PASTURE QUALITY</t>
  </si>
  <si>
    <t>OPTION 1</t>
  </si>
  <si>
    <t>OPTION 2</t>
  </si>
  <si>
    <t>=</t>
  </si>
  <si>
    <t>undegradable</t>
  </si>
  <si>
    <t>soluable</t>
  </si>
  <si>
    <t>% of</t>
  </si>
  <si>
    <t>diet</t>
  </si>
  <si>
    <t>Total %</t>
  </si>
  <si>
    <t>degradable</t>
  </si>
  <si>
    <t>Total in diet</t>
  </si>
  <si>
    <t>CRUDE PROTEIN BREAKDOWN</t>
  </si>
  <si>
    <t>Total Protein</t>
  </si>
  <si>
    <t>UDP</t>
  </si>
  <si>
    <t>RDP</t>
  </si>
  <si>
    <t xml:space="preserve"> adjust MJME?</t>
  </si>
  <si>
    <t>diff</t>
  </si>
  <si>
    <t xml:space="preserve"> The 1 Step Quick Check</t>
  </si>
  <si>
    <t>GREEN</t>
  </si>
  <si>
    <t>GREY</t>
  </si>
  <si>
    <t>TEAL</t>
  </si>
  <si>
    <t>CREAM</t>
  </si>
  <si>
    <t>LINE COLOUR</t>
  </si>
  <si>
    <t>HEADING COLOUR</t>
  </si>
  <si>
    <t>165-216-126</t>
  </si>
  <si>
    <t>240-248-233</t>
  </si>
  <si>
    <t>191-230-233</t>
  </si>
  <si>
    <t>79-129-189</t>
  </si>
  <si>
    <t>251-251-250</t>
  </si>
  <si>
    <t>`</t>
  </si>
  <si>
    <t>195-229-169</t>
  </si>
  <si>
    <t>234-235-234</t>
  </si>
  <si>
    <t>204-205=204</t>
  </si>
  <si>
    <t>132=133-132</t>
  </si>
  <si>
    <t>104-105-104</t>
  </si>
  <si>
    <r>
      <t>ME</t>
    </r>
    <r>
      <rPr>
        <b/>
        <sz val="8"/>
        <color theme="0"/>
        <rFont val="Calibri"/>
        <family val="2"/>
        <scheme val="minor"/>
      </rPr>
      <t xml:space="preserve"> </t>
    </r>
    <r>
      <rPr>
        <b/>
        <sz val="9"/>
        <color theme="0"/>
        <rFont val="Calibri"/>
        <family val="2"/>
        <scheme val="minor"/>
      </rPr>
      <t>Curr.</t>
    </r>
  </si>
  <si>
    <r>
      <t>ME</t>
    </r>
    <r>
      <rPr>
        <b/>
        <sz val="8"/>
        <color theme="0"/>
        <rFont val="Calibri"/>
        <family val="2"/>
        <scheme val="minor"/>
      </rPr>
      <t xml:space="preserve"> </t>
    </r>
    <r>
      <rPr>
        <b/>
        <sz val="9"/>
        <color theme="0"/>
        <rFont val="Calibri"/>
        <family val="2"/>
        <scheme val="minor"/>
      </rPr>
      <t>Prop</t>
    </r>
    <r>
      <rPr>
        <b/>
        <sz val="8"/>
        <color theme="0"/>
        <rFont val="Calibri"/>
        <family val="2"/>
        <scheme val="minor"/>
      </rPr>
      <t>.</t>
    </r>
  </si>
  <si>
    <t>Enter values</t>
  </si>
  <si>
    <t>Feed selection fron drop down list</t>
  </si>
  <si>
    <t>Option 1  drop-down or enter values</t>
  </si>
  <si>
    <t>Option 2  drop-down or enter values</t>
  </si>
  <si>
    <t>Average liveweight (kg)</t>
  </si>
  <si>
    <t>Option 1</t>
  </si>
  <si>
    <t>Option 2</t>
  </si>
  <si>
    <t>Select from drop down list</t>
  </si>
  <si>
    <t>Enter values - Option 1</t>
  </si>
  <si>
    <t>Required for the ASSESS page</t>
  </si>
  <si>
    <t>All FARM/COW/PASTURE inputs complete?</t>
  </si>
  <si>
    <t>All MOB and PASTURE inputs complete?</t>
  </si>
  <si>
    <t>MJME/cow</t>
  </si>
  <si>
    <t>per cow</t>
  </si>
  <si>
    <t>Planned start of calving - next season</t>
  </si>
  <si>
    <t>Weeks to PSC next season</t>
  </si>
  <si>
    <t>Estimated  BCS loss/gain next month</t>
  </si>
  <si>
    <t>KgDM/cow</t>
  </si>
  <si>
    <t>Total daily walking distance (km)</t>
  </si>
  <si>
    <t>Na</t>
  </si>
  <si>
    <t>%DM</t>
  </si>
  <si>
    <t>K</t>
  </si>
  <si>
    <t>Cl</t>
  </si>
  <si>
    <t>S</t>
  </si>
  <si>
    <t>Mg</t>
  </si>
  <si>
    <t>Ca</t>
  </si>
  <si>
    <t>P</t>
  </si>
  <si>
    <t>DCAD</t>
  </si>
  <si>
    <t xml:space="preserve"> meq/100g DM</t>
  </si>
  <si>
    <t>CALCULATION OPTIONS</t>
  </si>
  <si>
    <t>CRUDE PROTEIN COMPONENTS</t>
  </si>
  <si>
    <t>$/tonne</t>
  </si>
  <si>
    <t>Feed cost</t>
  </si>
  <si>
    <t>$/cow</t>
  </si>
  <si>
    <t>$/mob</t>
  </si>
  <si>
    <t>Current Stocking rate (cows/ha)</t>
  </si>
  <si>
    <t>Stocking rate at peak (cows/ha)</t>
  </si>
  <si>
    <t>Current kg LWT/ha</t>
  </si>
  <si>
    <t>kg LWT/ha</t>
  </si>
  <si>
    <t>ME for maintenance as of F&amp;F mar 17</t>
  </si>
  <si>
    <t>Soluable</t>
  </si>
  <si>
    <t xml:space="preserve">CRUDE PROTEIN </t>
  </si>
  <si>
    <t>&gt;32</t>
  </si>
  <si>
    <t>&lt;65</t>
  </si>
  <si>
    <t>Sol.</t>
  </si>
  <si>
    <t>only one value given for maize grain</t>
  </si>
  <si>
    <t>for whole crop</t>
  </si>
  <si>
    <t>Barley straw but there is also wheat straw</t>
  </si>
  <si>
    <t>Hay &amp; Silage</t>
  </si>
  <si>
    <t>Concentrates</t>
  </si>
  <si>
    <t>Minerals</t>
  </si>
  <si>
    <t>WEEKS TO CALVING</t>
  </si>
  <si>
    <t>TERRAIN for activity</t>
  </si>
  <si>
    <t>STAGE OF LACTATION</t>
  </si>
  <si>
    <t>BREED</t>
  </si>
  <si>
    <t>&gt;0.12</t>
  </si>
  <si>
    <t>&gt;1.2</t>
  </si>
  <si>
    <t>&gt;0.25</t>
  </si>
  <si>
    <t>&gt;0.50</t>
  </si>
  <si>
    <t xml:space="preserve">DCAD EATEN </t>
  </si>
  <si>
    <t>meq/100g DM</t>
  </si>
  <si>
    <t>&lt;0</t>
  </si>
  <si>
    <t>closer to -10</t>
  </si>
  <si>
    <t>PASTURE QUALITY &amp; ALLOCATION</t>
  </si>
  <si>
    <t xml:space="preserve"> adjust MJME? </t>
  </si>
  <si>
    <t>Calcs from this date</t>
  </si>
  <si>
    <t>Pasture quality</t>
  </si>
  <si>
    <t>Hectares grazed/day  -this mob</t>
  </si>
  <si>
    <t xml:space="preserve">Pre-grazing cover </t>
  </si>
  <si>
    <t>ha/day</t>
  </si>
  <si>
    <t xml:space="preserve">Post-grazing residual </t>
  </si>
  <si>
    <t>COMPARE TWO FEEDING OPTIONS</t>
  </si>
  <si>
    <t>Kg DM/cow</t>
  </si>
  <si>
    <t>ALLOCATION</t>
  </si>
  <si>
    <t>Direct input</t>
  </si>
  <si>
    <t>FEED OPTION 1</t>
  </si>
  <si>
    <t>FEED OPTION 2</t>
  </si>
  <si>
    <t>kg DM/ha</t>
  </si>
  <si>
    <t xml:space="preserve">Allocation per day </t>
  </si>
  <si>
    <t>Table 4.2 Technote 4</t>
  </si>
  <si>
    <t>Opt.1</t>
  </si>
  <si>
    <t>Opt.2</t>
  </si>
  <si>
    <t>SUPPLEMENT ON HAND/CONTRACT</t>
  </si>
  <si>
    <t>Lucerne</t>
  </si>
  <si>
    <t>DDG (Dried distillers grain)</t>
  </si>
  <si>
    <t>Bran (wheat)</t>
  </si>
  <si>
    <t>Canola meal</t>
  </si>
  <si>
    <t>Date for calculations</t>
  </si>
  <si>
    <t>MOB</t>
  </si>
  <si>
    <t>kg DM/cow/d</t>
  </si>
  <si>
    <t>t/mob/d</t>
  </si>
  <si>
    <t>$/Cow/d</t>
  </si>
  <si>
    <t>$/Mob/d</t>
  </si>
  <si>
    <t>tonne</t>
  </si>
  <si>
    <t>Named ranges</t>
  </si>
  <si>
    <t>Hay_Silage</t>
  </si>
  <si>
    <t>Dependent drop-down lists</t>
  </si>
  <si>
    <t>By-products</t>
  </si>
  <si>
    <t>Forages</t>
  </si>
  <si>
    <t>By_products</t>
  </si>
  <si>
    <t>Feed_Type</t>
  </si>
  <si>
    <t>Feeds</t>
  </si>
  <si>
    <t>FEED TYPE</t>
  </si>
  <si>
    <t>PLATFORM SIZE (Effective Ha)</t>
  </si>
  <si>
    <t>CURRENT TOTAL GRAZABLE AREA (ha)</t>
  </si>
  <si>
    <t>TERRAIN</t>
  </si>
  <si>
    <t>AREA GRAZED/DAY (ha) all mobs</t>
  </si>
  <si>
    <t>AVERAGE PASTURE COVER</t>
  </si>
  <si>
    <t>COWS ON FARM NOW</t>
  </si>
  <si>
    <t>Total kg DM offered:  Option 1</t>
  </si>
  <si>
    <t xml:space="preserve"> Option 2</t>
  </si>
  <si>
    <t>&gt;0.25, &lt;0.45</t>
  </si>
  <si>
    <t>PLANNED START OF CALVING (PSC)</t>
  </si>
  <si>
    <t>MINERALS</t>
  </si>
  <si>
    <t>&gt;0.30</t>
  </si>
  <si>
    <t>AVERAGE LIVEWEIGHT</t>
  </si>
  <si>
    <t>TOTAL COWS (at peak)</t>
  </si>
  <si>
    <t>Early</t>
  </si>
  <si>
    <t>Mid</t>
  </si>
  <si>
    <t>Late</t>
  </si>
  <si>
    <t>Date of next calving (PSC)</t>
  </si>
  <si>
    <t>Weeks to next PSC</t>
  </si>
  <si>
    <t>Feeding Methods</t>
  </si>
  <si>
    <t>Code</t>
  </si>
  <si>
    <t>in water</t>
  </si>
  <si>
    <t>CaCO3, %DM</t>
  </si>
  <si>
    <t>All MOB  inputs complete?</t>
  </si>
  <si>
    <t>FEED COST</t>
  </si>
  <si>
    <t>meq</t>
  </si>
  <si>
    <t>/100g DM</t>
  </si>
  <si>
    <t>YES/NO</t>
  </si>
  <si>
    <t>These are also dragged through from the Data Source sheet</t>
  </si>
  <si>
    <t>0.25-0.45</t>
  </si>
  <si>
    <t>J12</t>
  </si>
  <si>
    <t>J8</t>
  </si>
  <si>
    <t>J4</t>
  </si>
  <si>
    <t>J2</t>
  </si>
  <si>
    <t>X12</t>
  </si>
  <si>
    <t>X8</t>
  </si>
  <si>
    <t>X4</t>
  </si>
  <si>
    <t>X2</t>
  </si>
  <si>
    <t>F12</t>
  </si>
  <si>
    <t>F8</t>
  </si>
  <si>
    <t>F4</t>
  </si>
  <si>
    <t>F2</t>
  </si>
  <si>
    <t>All</t>
  </si>
  <si>
    <t>&gt;12</t>
  </si>
  <si>
    <t>Values in eqns</t>
  </si>
  <si>
    <t>wk pre PSC blocks</t>
  </si>
  <si>
    <t>Pasture MJME/kg DM</t>
  </si>
  <si>
    <t>kg DM</t>
  </si>
  <si>
    <t>cow/day</t>
  </si>
  <si>
    <t>Tonne</t>
  </si>
  <si>
    <t>mob/day</t>
  </si>
  <si>
    <t>FARM &amp; MOB INFO</t>
  </si>
  <si>
    <t>Est, BCS loss next month</t>
  </si>
  <si>
    <t>PROT.</t>
  </si>
  <si>
    <t>&lt;0.5,&gt;2.0</t>
  </si>
  <si>
    <t>i</t>
  </si>
  <si>
    <t>Platform Sixe (Effective ha)</t>
  </si>
  <si>
    <t>Current total grazable area (ha)</t>
  </si>
  <si>
    <t>COWS IN THIS MOB</t>
  </si>
  <si>
    <t>Area grazed/day (ha - all mobs)</t>
  </si>
  <si>
    <t>HERD</t>
  </si>
  <si>
    <t>Average pasture cover  (kg DM/ha)</t>
  </si>
  <si>
    <t>Number of cows at peak</t>
  </si>
  <si>
    <t>Number of cows on farm now</t>
  </si>
  <si>
    <t>BSC (herd average)</t>
  </si>
  <si>
    <t>ON-HAND</t>
  </si>
  <si>
    <t>SUMMARY METRICS</t>
  </si>
  <si>
    <r>
      <rPr>
        <sz val="10"/>
        <rFont val="Calibri"/>
        <family val="2"/>
        <scheme val="minor"/>
      </rPr>
      <t xml:space="preserve"> (next calving)</t>
    </r>
  </si>
  <si>
    <t>CP%</t>
  </si>
  <si>
    <t>mg</t>
  </si>
  <si>
    <t>min</t>
  </si>
  <si>
    <t>$/cow /day</t>
  </si>
  <si>
    <t>Total daily walking dist. (km)</t>
  </si>
  <si>
    <t>COST OF SUPPLEMENT</t>
  </si>
  <si>
    <t>Hay - pasture - good</t>
  </si>
  <si>
    <t>Hay - pasture - poor</t>
  </si>
  <si>
    <t>Autumn and winter</t>
  </si>
  <si>
    <t>Spring</t>
  </si>
  <si>
    <t>Kikuyu - leafy</t>
  </si>
  <si>
    <t>Summer - leafy</t>
  </si>
  <si>
    <t>Summer - stalky</t>
  </si>
  <si>
    <t>Kikuyu - stemmy</t>
  </si>
  <si>
    <t>c/MJME eaten</t>
  </si>
  <si>
    <t>Opt.</t>
  </si>
  <si>
    <t>$/tonne delivered</t>
  </si>
  <si>
    <t>FEEDCHECKER</t>
  </si>
  <si>
    <t>Option 2?</t>
  </si>
  <si>
    <t>OR</t>
  </si>
  <si>
    <t>PASTURE ALLOCATION (for Option 1)</t>
  </si>
  <si>
    <t>Calcs from a different date?</t>
  </si>
  <si>
    <t>DCAD calculations?</t>
  </si>
  <si>
    <t>grazing - very good conditions</t>
  </si>
  <si>
    <t>Directly input pasture?</t>
  </si>
  <si>
    <t>OFFERED</t>
  </si>
  <si>
    <t>EATEN</t>
  </si>
  <si>
    <t>Total feed (kg DM/cow/day)</t>
  </si>
  <si>
    <t>Supplement (kg DM/cow/day)</t>
  </si>
  <si>
    <t>Feed Budget?</t>
  </si>
  <si>
    <t>$/cow/day</t>
  </si>
  <si>
    <t>$/mob/day</t>
  </si>
  <si>
    <t>1. HERD/MOB INPUTS</t>
  </si>
  <si>
    <t>2. PASTURE QUALITY &amp; ALLOCATION</t>
  </si>
  <si>
    <t>OPTION</t>
  </si>
  <si>
    <t xml:space="preserve">Who is the FEEDCHECKER spreadsheet targetted at? </t>
  </si>
  <si>
    <t>What does FEEDCHECKER do?</t>
  </si>
  <si>
    <t>t/day  /mob</t>
  </si>
  <si>
    <t>dusted - good conditions</t>
  </si>
  <si>
    <t>dusted - wet conditions</t>
  </si>
  <si>
    <t>FEED METHOD UTILISATION</t>
  </si>
  <si>
    <t>HAY_SILAGE</t>
  </si>
  <si>
    <t>CONCENTRATE</t>
  </si>
  <si>
    <t>FORAGES</t>
  </si>
  <si>
    <t>BY_PRODUCTS</t>
  </si>
  <si>
    <t>CRUDE PROTEIN</t>
  </si>
  <si>
    <t>CUSTOM FEEDS</t>
  </si>
  <si>
    <t>Drop-down for methods</t>
  </si>
  <si>
    <t/>
  </si>
  <si>
    <t>Transition cow (2-3 weeks pre-calving)</t>
  </si>
  <si>
    <t>MJME (90%)</t>
  </si>
  <si>
    <t xml:space="preserve">NAME </t>
  </si>
  <si>
    <t xml:space="preserve">Calcs from Today </t>
  </si>
  <si>
    <t xml:space="preserve">ME required adjustment for avg feed ME </t>
  </si>
  <si>
    <t>Autumn &amp; winter -Irrigated</t>
  </si>
  <si>
    <t>Spring - Irrigated</t>
  </si>
  <si>
    <t>Summer - leafy - irrigated</t>
  </si>
  <si>
    <t>Silage -pasture - good</t>
  </si>
  <si>
    <t>Silage - maize - poor</t>
  </si>
  <si>
    <t>Silage - maize - good</t>
  </si>
  <si>
    <t>Silage -whole crop</t>
  </si>
  <si>
    <t>Silage -lucerne</t>
  </si>
  <si>
    <t>Silage - pasture - poor</t>
  </si>
  <si>
    <t>OPT.1</t>
  </si>
  <si>
    <t>DM (90%)</t>
  </si>
  <si>
    <t>Are cows at or above target BCS for calving?</t>
  </si>
  <si>
    <t>OPT.2</t>
  </si>
  <si>
    <t>TRANSITION COW</t>
  </si>
  <si>
    <t xml:space="preserve">Total ME requirements at diet ME   = </t>
  </si>
  <si>
    <t>Sum of ME requirements at default ME = 11 .0</t>
  </si>
  <si>
    <t>Multiplier for feed quality (+/- 5% per MJ ME)</t>
  </si>
  <si>
    <t>This tool has been developed to enable farmers and their advisors to assess current and proposed diets.</t>
  </si>
  <si>
    <t>FeedChecker estimates the energy and nutrient demands for a selected mob of cows and compares this with what is supplied in the diet.  FeedChecker will determine if the diets offered meet energy and nutrient requirements and can determine the cost of these different diets. However, it does not calculate any change to revenue.  To determine the expected margin from feeding different supplements use the supplement price calculator  http://www.dairynz.co.nz/feed/feed-management-tools/supplement-price-calculator</t>
  </si>
  <si>
    <t>The information symbol will appear when there is extra relevant information or instructions to follow</t>
  </si>
  <si>
    <t xml:space="preserve">Click on the green drop down boxes and a list of options will appear </t>
  </si>
  <si>
    <t>grazing - wet conditions</t>
  </si>
  <si>
    <t>grazing - very poor conditions</t>
  </si>
  <si>
    <t>in paddock good conditions</t>
  </si>
  <si>
    <t>in paddock poor conditions</t>
  </si>
  <si>
    <t>DCAD                    (mEq/100g DM)</t>
  </si>
  <si>
    <t>in slurry</t>
  </si>
  <si>
    <t>dry</t>
  </si>
  <si>
    <t>F&amp;F</t>
  </si>
  <si>
    <t>Fodder beet - bulb</t>
  </si>
  <si>
    <t>Fodder beet - leaf</t>
  </si>
  <si>
    <t>Literature review SFF Fodder beet</t>
  </si>
  <si>
    <t>BULB CROPS</t>
  </si>
  <si>
    <t>Leaf available</t>
  </si>
  <si>
    <t>Bulb only</t>
  </si>
  <si>
    <t>bulb 90% leaf 10%</t>
  </si>
  <si>
    <t>bulb 85% leaf 15%</t>
  </si>
  <si>
    <t>bulb 80% leaf 20%</t>
  </si>
  <si>
    <t>in bale feeder</t>
  </si>
  <si>
    <t>Utilisation 95%</t>
  </si>
  <si>
    <t>Utilisation 90%</t>
  </si>
  <si>
    <t>Utilisation 85%</t>
  </si>
  <si>
    <t>Utilisation 80%</t>
  </si>
  <si>
    <t>Utilisation 75%</t>
  </si>
  <si>
    <t>Utilisation 70%</t>
  </si>
  <si>
    <t>Utilisation 65%</t>
  </si>
  <si>
    <t>Utilisation 60%</t>
  </si>
  <si>
    <t>Utilisation 55%</t>
  </si>
  <si>
    <t>4. FEED AND MINERAL SUPPLY</t>
  </si>
  <si>
    <t>Pre-grazing cover</t>
  </si>
  <si>
    <t>3. ARE YOU FEEDING CROPS?</t>
  </si>
  <si>
    <t>bulb 75% leaf 25%</t>
  </si>
  <si>
    <t>bulb 70% leaf 30%</t>
  </si>
  <si>
    <t>check</t>
  </si>
  <si>
    <t>Custom_feed</t>
  </si>
  <si>
    <t>Bulb DM%</t>
  </si>
  <si>
    <t>Leaf DM%</t>
  </si>
  <si>
    <t>fodder beet DM calc</t>
  </si>
  <si>
    <r>
      <t>MgSO</t>
    </r>
    <r>
      <rPr>
        <vertAlign val="subscript"/>
        <sz val="11"/>
        <color theme="1"/>
        <rFont val="Calibri"/>
        <family val="2"/>
        <scheme val="minor"/>
      </rPr>
      <t xml:space="preserve">4 </t>
    </r>
  </si>
  <si>
    <t>loose lick</t>
  </si>
  <si>
    <t>Custom_Crops</t>
  </si>
  <si>
    <t>Bulb to leaf ratio</t>
  </si>
  <si>
    <t>MSP</t>
  </si>
  <si>
    <r>
      <t>MgCl</t>
    </r>
    <r>
      <rPr>
        <vertAlign val="subscript"/>
        <sz val="11"/>
        <color theme="1"/>
        <rFont val="Calibri"/>
        <family val="2"/>
        <scheme val="minor"/>
      </rPr>
      <t>2</t>
    </r>
    <r>
      <rPr>
        <sz val="11"/>
        <color theme="1"/>
        <rFont val="Calibri"/>
        <family val="2"/>
        <scheme val="minor"/>
      </rPr>
      <t xml:space="preserve"> </t>
    </r>
  </si>
  <si>
    <t xml:space="preserve">MgO </t>
  </si>
  <si>
    <t xml:space="preserve">Gypsum </t>
  </si>
  <si>
    <t xml:space="preserve">DCP </t>
  </si>
  <si>
    <t>NaCl</t>
  </si>
  <si>
    <t>MCP</t>
  </si>
  <si>
    <t>FT1</t>
  </si>
  <si>
    <t>FT2</t>
  </si>
  <si>
    <t>FT3</t>
  </si>
  <si>
    <t>FT4</t>
  </si>
  <si>
    <t>FT5</t>
  </si>
  <si>
    <t>FT6</t>
  </si>
  <si>
    <t>FT7</t>
  </si>
  <si>
    <t>FT8</t>
  </si>
  <si>
    <t>FT1_</t>
  </si>
  <si>
    <t>FT2_</t>
  </si>
  <si>
    <t>FT3_</t>
  </si>
  <si>
    <t>FT4_</t>
  </si>
  <si>
    <t>FT5_</t>
  </si>
  <si>
    <t>FT6_</t>
  </si>
  <si>
    <t>FT7_</t>
  </si>
  <si>
    <t>FT8_</t>
  </si>
  <si>
    <t>Custom_Feeds_Minerals</t>
  </si>
  <si>
    <t>If a red square appears, the value is outside recommended range. An orange square indicates the value is in excess of requirements (e.g. energy).   Note FeedChecker does not calculate the most economic diet. Refer to the Supplement Price Calculator .</t>
  </si>
  <si>
    <t>Straw - cereal</t>
  </si>
  <si>
    <t>5. FEED BUDGET</t>
  </si>
  <si>
    <t>6. FEED BREAKDOWN</t>
  </si>
  <si>
    <t>custom</t>
  </si>
  <si>
    <t>%leaf</t>
  </si>
  <si>
    <t>Late spring</t>
  </si>
  <si>
    <t>Summer</t>
  </si>
  <si>
    <t>Late Summer</t>
  </si>
  <si>
    <t>Winter</t>
  </si>
  <si>
    <t>Energy requirements calcs</t>
  </si>
  <si>
    <t>AD6</t>
  </si>
  <si>
    <t>Bulb 75% Leaf 25%</t>
  </si>
  <si>
    <t>Bulb 85% Leaf 15%</t>
  </si>
  <si>
    <t>Bulb 90% Leaf 10%</t>
  </si>
  <si>
    <t>Bulb 80% Leaf 20%</t>
  </si>
  <si>
    <t>Opt 1</t>
  </si>
  <si>
    <t>DM eaten</t>
  </si>
  <si>
    <t>Opt 2</t>
  </si>
  <si>
    <t>Custom bulb</t>
  </si>
  <si>
    <t>Custom leaf</t>
  </si>
  <si>
    <t>Cell</t>
  </si>
  <si>
    <t>Y46</t>
  </si>
  <si>
    <t>AE11, AF11</t>
  </si>
  <si>
    <t>AE12 &amp; AF 12</t>
  </si>
  <si>
    <t>AC40 &amp; AE40</t>
  </si>
  <si>
    <t>AC43 &amp; AE43</t>
  </si>
  <si>
    <t>Y40 &amp; Z40</t>
  </si>
  <si>
    <t>AB42 &amp; AD42</t>
  </si>
  <si>
    <t>Not needed now - replaces with a VLOOKUP at H29</t>
  </si>
  <si>
    <t>ROUND LENGTH ESTIMATE</t>
  </si>
  <si>
    <t>This mob</t>
  </si>
  <si>
    <t>Mob 2</t>
  </si>
  <si>
    <t>Mob 3</t>
  </si>
  <si>
    <t>Mob 4</t>
  </si>
  <si>
    <t>max</t>
  </si>
  <si>
    <t xml:space="preserve">  </t>
  </si>
  <si>
    <t xml:space="preserve">   </t>
  </si>
  <si>
    <t>kg DM /cow</t>
  </si>
  <si>
    <t>Average MJME/kg DM</t>
  </si>
  <si>
    <t>Farm area in current round (ha)</t>
  </si>
  <si>
    <t>Bulb 70% leaf 30%</t>
  </si>
  <si>
    <t>in a bale feeder</t>
  </si>
  <si>
    <t>Custom feed 4</t>
  </si>
  <si>
    <t>Custom feed 5</t>
  </si>
  <si>
    <t>Custom feed 6</t>
  </si>
  <si>
    <t>Custom feed 7</t>
  </si>
  <si>
    <t>Custom feed 8</t>
  </si>
  <si>
    <t>Custom feed 9</t>
  </si>
  <si>
    <t>Custom feed 10</t>
  </si>
  <si>
    <t>Are you feeding Fodder beet?</t>
  </si>
  <si>
    <t xml:space="preserve"> </t>
  </si>
  <si>
    <t>CALCULATE BREAK SIZE</t>
  </si>
  <si>
    <t>CALC DM% of FODDER BEET CROP</t>
  </si>
  <si>
    <t>Add new feeds in the Data Source sheet - Coloured cells indicate spare spaces available in each section</t>
  </si>
  <si>
    <t>CropDM%</t>
  </si>
  <si>
    <t>Dropdown list</t>
  </si>
  <si>
    <t>Leaf only</t>
  </si>
  <si>
    <t>all mobs</t>
  </si>
  <si>
    <t>Total area  grazed  (ha/day)</t>
  </si>
  <si>
    <t>Break face (metres)</t>
  </si>
  <si>
    <t>DM (%)</t>
  </si>
  <si>
    <t>Crop yield (T/ha)</t>
  </si>
  <si>
    <t>Break size (metres/day)</t>
  </si>
  <si>
    <t>Round length (days)</t>
  </si>
  <si>
    <t>Allocation  (kg DM/cow/day)</t>
  </si>
  <si>
    <t>Leave blank to use fodder beet %DM calc</t>
  </si>
  <si>
    <t>ha grazed/day</t>
  </si>
  <si>
    <t>%SSS</t>
  </si>
  <si>
    <t>%bulb</t>
  </si>
  <si>
    <t>%CP</t>
  </si>
  <si>
    <t>MJ/kg DM</t>
  </si>
  <si>
    <t>Custom: Bulb% &amp; Leaf%</t>
  </si>
  <si>
    <t>Custom feed 2</t>
  </si>
  <si>
    <t>Custom feed 3</t>
  </si>
  <si>
    <r>
      <rPr>
        <b/>
        <sz val="16"/>
        <color theme="1"/>
        <rFont val="Calibri"/>
        <family val="2"/>
        <scheme val="minor"/>
      </rPr>
      <t>Note:</t>
    </r>
    <r>
      <rPr>
        <b/>
        <sz val="14"/>
        <color theme="1"/>
        <rFont val="Calibri"/>
        <family val="2"/>
        <scheme val="minor"/>
      </rPr>
      <t xml:space="preserve"> FEEDCHECKER has been prepared with due care. Results, however, will vary from situation to situation and outputs should be viewed as estimates. This information is intended as a general guide and a tool to support feed management decisions. DairyNZ accepts no liability for decisions made based on this information.</t>
    </r>
  </si>
  <si>
    <t>MGP</t>
  </si>
  <si>
    <t>Forages and crops</t>
  </si>
  <si>
    <t>CUSTOM BULB CROPS</t>
  </si>
  <si>
    <t>FODDER BEET DEFAULT</t>
  </si>
  <si>
    <t>Silage - cereal</t>
  </si>
  <si>
    <t>Custom_Bulb_Crops</t>
  </si>
  <si>
    <t>Add custom bulb crop analysis here</t>
  </si>
  <si>
    <t>Custom fodder beet ratio</t>
  </si>
  <si>
    <t>Custom bulb crop ratio</t>
  </si>
  <si>
    <t>Fodder_beet_Default</t>
  </si>
  <si>
    <t>Other_Crops_Default</t>
  </si>
  <si>
    <t>Add custom feed and mineral analysis here</t>
  </si>
  <si>
    <t>Custom_Feeds_&amp;_Minerals</t>
  </si>
  <si>
    <t>Crops_Fodder_beet_Default</t>
  </si>
  <si>
    <t>Custom_Bulb_Crop_Measured</t>
  </si>
  <si>
    <t>Fodder beet_Default</t>
  </si>
  <si>
    <t xml:space="preserve"> Bulb only</t>
  </si>
  <si>
    <t xml:space="preserve"> Leaf only</t>
  </si>
  <si>
    <t xml:space="preserve"> Bulb 90% Leaf 10%</t>
  </si>
  <si>
    <t xml:space="preserve"> Bulb 85% Leaf 15%</t>
  </si>
  <si>
    <t xml:space="preserve"> Bulb 80% Leaf 20%</t>
  </si>
  <si>
    <t xml:space="preserve"> Bulb 75% Leaf 25%</t>
  </si>
  <si>
    <t xml:space="preserve"> Bulb 70% leaf 30%</t>
  </si>
  <si>
    <t xml:space="preserve"> Custom: Bulb% &amp; Leaf%</t>
  </si>
  <si>
    <t>Custom feed 1</t>
  </si>
  <si>
    <r>
      <t xml:space="preserve">Use this with </t>
    </r>
    <r>
      <rPr>
        <b/>
        <sz val="11"/>
        <color rgb="FFE60000"/>
        <rFont val="Calibri"/>
        <family val="2"/>
        <scheme val="minor"/>
      </rPr>
      <t>default</t>
    </r>
    <r>
      <rPr>
        <sz val="11"/>
        <color rgb="FFE60000"/>
        <rFont val="Calibri"/>
        <family val="2"/>
        <scheme val="minor"/>
      </rPr>
      <t xml:space="preserve"> fodder beet feeding values</t>
    </r>
  </si>
  <si>
    <r>
      <t xml:space="preserve">Use this with </t>
    </r>
    <r>
      <rPr>
        <b/>
        <sz val="11"/>
        <color rgb="FFE60000"/>
        <rFont val="Calibri"/>
        <family val="2"/>
        <scheme val="minor"/>
      </rPr>
      <t>custom</t>
    </r>
    <r>
      <rPr>
        <sz val="11"/>
        <color rgb="FFE60000"/>
        <rFont val="Calibri"/>
        <family val="2"/>
        <scheme val="minor"/>
      </rPr>
      <t xml:space="preserve"> bulb crop feed values below</t>
    </r>
  </si>
  <si>
    <t>Dry/Wet $</t>
  </si>
  <si>
    <t xml:space="preserve">Limeflour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</si>
</sst>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0.0"/>
    <numFmt numFmtId="165" formatCode="0.00_ ;\-0.00\ "/>
    <numFmt numFmtId="166" formatCode="0.0_ ;\-0.0\ "/>
    <numFmt numFmtId="167" formatCode="0.0_ ;[Red]\-0.0\ "/>
    <numFmt numFmtId="168" formatCode="_-&quot;$&quot;* #,##0_-;\-&quot;$&quot;* #,##0_-;_-&quot;$&quot;* &quot;-&quot;??_-;_-@_-"/>
    <numFmt numFmtId="169" formatCode="0_ ;[Red]\-0\ "/>
    <numFmt numFmtId="170" formatCode="&quot;$&quot;#,##0.00"/>
    <numFmt numFmtId="171" formatCode="&quot;$&quot;#,##0"/>
    <numFmt numFmtId="172" formatCode="0.00_ ;[Red]\-0.00\ "/>
    <numFmt numFmtId="173" formatCode="#,##0.00_ ;\-#,##0.00\ "/>
  </numFmts>
  <fonts count="144">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4"/>
      <name val="Calibri"/>
      <family val="2"/>
      <scheme val="minor"/>
    </font>
    <font>
      <sz val="11"/>
      <color theme="0"/>
      <name val="Calibri"/>
      <family val="2"/>
      <scheme val="minor"/>
    </font>
    <font>
      <b/>
      <sz val="11"/>
      <color theme="0"/>
      <name val="Calibri"/>
      <family val="2"/>
      <scheme val="minor"/>
    </font>
    <font>
      <b/>
      <sz val="12"/>
      <color rgb="FFFF0000"/>
      <name val="Calibri"/>
      <family val="2"/>
      <scheme val="minor"/>
    </font>
    <font>
      <b/>
      <sz val="12"/>
      <name val="Calibri"/>
      <family val="2"/>
      <scheme val="minor"/>
    </font>
    <font>
      <b/>
      <sz val="11"/>
      <color rgb="FFFF0000"/>
      <name val="Calibri"/>
      <family val="2"/>
      <scheme val="minor"/>
    </font>
    <font>
      <b/>
      <sz val="18"/>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1"/>
      <color theme="0" tint="-0.34998626667073579"/>
      <name val="Calibri"/>
      <family val="2"/>
      <scheme val="minor"/>
    </font>
    <font>
      <sz val="11"/>
      <color theme="1"/>
      <name val="Calibri"/>
      <family val="2"/>
    </font>
    <font>
      <sz val="11"/>
      <color theme="0" tint="-0.249977111117893"/>
      <name val="Calibri"/>
      <family val="2"/>
      <scheme val="minor"/>
    </font>
    <font>
      <sz val="11"/>
      <color theme="0" tint="-0.34998626667073579"/>
      <name val="Calibri"/>
      <family val="2"/>
    </font>
    <font>
      <sz val="11"/>
      <name val="Calibri"/>
      <family val="2"/>
    </font>
    <font>
      <b/>
      <sz val="14"/>
      <color theme="0"/>
      <name val="Calibri"/>
      <family val="2"/>
      <scheme val="minor"/>
    </font>
    <font>
      <sz val="8"/>
      <color theme="0" tint="-0.34998626667073579"/>
      <name val="Calibri"/>
      <family val="2"/>
      <scheme val="minor"/>
    </font>
    <font>
      <sz val="8"/>
      <color theme="1"/>
      <name val="Calibri"/>
      <family val="2"/>
      <scheme val="minor"/>
    </font>
    <font>
      <sz val="8"/>
      <color theme="1"/>
      <name val="Calibri"/>
      <family val="2"/>
    </font>
    <font>
      <b/>
      <sz val="11"/>
      <color theme="0" tint="-0.249977111117893"/>
      <name val="Calibri"/>
      <family val="2"/>
      <scheme val="minor"/>
    </font>
    <font>
      <sz val="12"/>
      <color rgb="FFFF0000"/>
      <name val="Calibri"/>
      <family val="2"/>
      <scheme val="minor"/>
    </font>
    <font>
      <sz val="18"/>
      <color theme="1"/>
      <name val="Calibri"/>
      <family val="2"/>
      <scheme val="minor"/>
    </font>
    <font>
      <sz val="20"/>
      <color theme="1"/>
      <name val="Calibri"/>
      <family val="2"/>
      <scheme val="minor"/>
    </font>
    <font>
      <sz val="11"/>
      <color rgb="FFC00000"/>
      <name val="Calibri"/>
      <family val="2"/>
      <scheme val="minor"/>
    </font>
    <font>
      <b/>
      <sz val="18"/>
      <name val="Calibri"/>
      <family val="2"/>
      <scheme val="minor"/>
    </font>
    <font>
      <b/>
      <sz val="16"/>
      <name val="Calibri"/>
      <family val="2"/>
      <scheme val="minor"/>
    </font>
    <font>
      <sz val="12"/>
      <color theme="0" tint="-0.249977111117893"/>
      <name val="Calibri"/>
      <family val="2"/>
      <scheme val="minor"/>
    </font>
    <font>
      <b/>
      <sz val="26"/>
      <name val="Calibri"/>
      <family val="2"/>
      <scheme val="minor"/>
    </font>
    <font>
      <sz val="11"/>
      <color theme="0" tint="-0.499984740745262"/>
      <name val="Calibri"/>
      <family val="2"/>
      <scheme val="minor"/>
    </font>
    <font>
      <sz val="12"/>
      <color theme="0" tint="-0.499984740745262"/>
      <name val="Calibri"/>
      <family val="2"/>
      <scheme val="minor"/>
    </font>
    <font>
      <b/>
      <sz val="11"/>
      <color theme="1"/>
      <name val="Calibri"/>
      <family val="2"/>
    </font>
    <font>
      <sz val="10"/>
      <color theme="1"/>
      <name val="Calibri"/>
      <family val="2"/>
    </font>
    <font>
      <sz val="12"/>
      <name val="Calibri"/>
      <family val="2"/>
      <scheme val="minor"/>
    </font>
    <font>
      <sz val="9"/>
      <name val="Calibri"/>
      <family val="2"/>
      <scheme val="minor"/>
    </font>
    <font>
      <b/>
      <sz val="9"/>
      <color theme="0" tint="-0.249977111117893"/>
      <name val="Calibri"/>
      <family val="2"/>
    </font>
    <font>
      <b/>
      <sz val="8"/>
      <name val="Calibri"/>
      <family val="2"/>
      <scheme val="minor"/>
    </font>
    <font>
      <sz val="8"/>
      <name val="Calibri"/>
      <family val="2"/>
      <scheme val="minor"/>
    </font>
    <font>
      <sz val="12"/>
      <color theme="1"/>
      <name val="Calibri"/>
      <family val="2"/>
      <scheme val="minor"/>
    </font>
    <font>
      <b/>
      <sz val="12"/>
      <color theme="0"/>
      <name val="Calibri"/>
      <family val="2"/>
      <scheme val="minor"/>
    </font>
    <font>
      <b/>
      <sz val="9"/>
      <color theme="0" tint="-0.14999847407452621"/>
      <name val="Calibri"/>
      <family val="2"/>
    </font>
    <font>
      <sz val="11"/>
      <color theme="0" tint="-0.14999847407452621"/>
      <name val="Calibri"/>
      <family val="2"/>
      <scheme val="minor"/>
    </font>
    <font>
      <sz val="18"/>
      <color theme="1" tint="0.34998626667073579"/>
      <name val="Arial Black"/>
      <family val="2"/>
    </font>
    <font>
      <sz val="9"/>
      <color theme="1"/>
      <name val="Calibri"/>
      <family val="2"/>
      <scheme val="minor"/>
    </font>
    <font>
      <sz val="10"/>
      <name val="Calibri"/>
      <family val="2"/>
      <scheme val="minor"/>
    </font>
    <font>
      <b/>
      <sz val="11"/>
      <color theme="8" tint="-0.249977111117893"/>
      <name val="Calibri"/>
      <family val="2"/>
      <scheme val="minor"/>
    </font>
    <font>
      <sz val="10"/>
      <color theme="1"/>
      <name val="Calibri"/>
      <family val="2"/>
      <scheme val="minor"/>
    </font>
    <font>
      <sz val="11"/>
      <color rgb="FF0070C0"/>
      <name val="Calibri"/>
      <family val="2"/>
      <scheme val="minor"/>
    </font>
    <font>
      <b/>
      <sz val="14"/>
      <color theme="4"/>
      <name val="Calibri"/>
      <family val="2"/>
      <scheme val="minor"/>
    </font>
    <font>
      <b/>
      <sz val="10"/>
      <name val="Calibri"/>
      <family val="2"/>
      <scheme val="minor"/>
    </font>
    <font>
      <b/>
      <sz val="11"/>
      <name val="Calibri"/>
      <family val="2"/>
    </font>
    <font>
      <sz val="9"/>
      <color indexed="81"/>
      <name val="Tahoma"/>
      <family val="2"/>
    </font>
    <font>
      <b/>
      <sz val="9"/>
      <color indexed="81"/>
      <name val="Tahoma"/>
      <family val="2"/>
    </font>
    <font>
      <b/>
      <sz val="12"/>
      <name val="Calibri"/>
      <family val="2"/>
    </font>
    <font>
      <sz val="11"/>
      <color rgb="FF000000"/>
      <name val="Calibri"/>
      <family val="2"/>
      <scheme val="minor"/>
    </font>
    <font>
      <sz val="11"/>
      <color rgb="FF558ED5"/>
      <name val="Calibri"/>
      <family val="2"/>
      <scheme val="minor"/>
    </font>
    <font>
      <b/>
      <sz val="20"/>
      <color theme="1"/>
      <name val="Calibri"/>
      <family val="2"/>
      <scheme val="minor"/>
    </font>
    <font>
      <sz val="12"/>
      <color theme="0"/>
      <name val="Calibri"/>
      <family val="2"/>
      <scheme val="minor"/>
    </font>
    <font>
      <b/>
      <sz val="18"/>
      <color theme="0"/>
      <name val="Calibri"/>
      <family val="2"/>
      <scheme val="minor"/>
    </font>
    <font>
      <b/>
      <sz val="11"/>
      <color rgb="FFFFFF00"/>
      <name val="Calibri"/>
      <family val="2"/>
      <scheme val="minor"/>
    </font>
    <font>
      <sz val="18"/>
      <name val="Calibri"/>
      <family val="2"/>
      <scheme val="minor"/>
    </font>
    <font>
      <sz val="11"/>
      <color rgb="FFFFFF00"/>
      <name val="Calibri"/>
      <family val="2"/>
      <scheme val="minor"/>
    </font>
    <font>
      <b/>
      <sz val="26"/>
      <color rgb="FF009AA6"/>
      <name val="Calibri"/>
      <family val="2"/>
      <scheme val="minor"/>
    </font>
    <font>
      <b/>
      <sz val="11"/>
      <color theme="0"/>
      <name val="Calibri"/>
      <family val="2"/>
    </font>
    <font>
      <sz val="11"/>
      <color theme="0"/>
      <name val="Calibri"/>
      <family val="2"/>
    </font>
    <font>
      <sz val="14"/>
      <color theme="0"/>
      <name val="Calibri"/>
      <family val="2"/>
      <scheme val="minor"/>
    </font>
    <font>
      <b/>
      <sz val="8"/>
      <color theme="0"/>
      <name val="Calibri"/>
      <family val="2"/>
      <scheme val="minor"/>
    </font>
    <font>
      <b/>
      <sz val="9"/>
      <color theme="0"/>
      <name val="Calibri"/>
      <family val="2"/>
      <scheme val="minor"/>
    </font>
    <font>
      <sz val="10"/>
      <color theme="0"/>
      <name val="Calibri"/>
      <family val="2"/>
      <scheme val="minor"/>
    </font>
    <font>
      <b/>
      <sz val="11"/>
      <color rgb="FF0070C0"/>
      <name val="Calibri"/>
      <family val="2"/>
      <scheme val="minor"/>
    </font>
    <font>
      <b/>
      <sz val="14"/>
      <color theme="9" tint="-0.249977111117893"/>
      <name val="Calibri"/>
      <family val="2"/>
      <scheme val="minor"/>
    </font>
    <font>
      <b/>
      <sz val="12"/>
      <color theme="4"/>
      <name val="Calibri"/>
      <family val="2"/>
      <scheme val="minor"/>
    </font>
    <font>
      <sz val="12"/>
      <color theme="1"/>
      <name val="Calibri"/>
      <family val="2"/>
    </font>
    <font>
      <sz val="8"/>
      <color theme="0"/>
      <name val="Calibri"/>
      <family val="2"/>
      <scheme val="minor"/>
    </font>
    <font>
      <b/>
      <sz val="11"/>
      <color rgb="FFEAEA16"/>
      <name val="Calibri"/>
      <family val="2"/>
      <scheme val="minor"/>
    </font>
    <font>
      <b/>
      <sz val="11"/>
      <color rgb="FFC00000"/>
      <name val="Calibri"/>
      <family val="2"/>
      <scheme val="minor"/>
    </font>
    <font>
      <sz val="16"/>
      <color rgb="FFFF0000"/>
      <name val="Calibri"/>
      <family val="2"/>
      <scheme val="minor"/>
    </font>
    <font>
      <b/>
      <sz val="16"/>
      <color rgb="FFC00000"/>
      <name val="Calibri"/>
      <family val="2"/>
      <scheme val="minor"/>
    </font>
    <font>
      <b/>
      <sz val="26"/>
      <color rgb="FFEAEA16"/>
      <name val="Calibri"/>
      <family val="2"/>
      <scheme val="minor"/>
    </font>
    <font>
      <b/>
      <sz val="18"/>
      <color rgb="FFEAEA16"/>
      <name val="Calibri"/>
      <family val="2"/>
      <scheme val="minor"/>
    </font>
    <font>
      <b/>
      <sz val="22"/>
      <color rgb="FFC00000"/>
      <name val="Calibri"/>
      <family val="2"/>
      <scheme val="minor"/>
    </font>
    <font>
      <b/>
      <sz val="11"/>
      <color theme="1" tint="0.34998626667073579"/>
      <name val="Calibri"/>
      <family val="2"/>
      <scheme val="minor"/>
    </font>
    <font>
      <b/>
      <sz val="11"/>
      <color theme="1" tint="0.499984740745262"/>
      <name val="Calibri"/>
      <family val="2"/>
      <scheme val="minor"/>
    </font>
    <font>
      <b/>
      <i/>
      <sz val="11"/>
      <color theme="1"/>
      <name val="Calibri"/>
      <family val="2"/>
      <scheme val="minor"/>
    </font>
    <font>
      <sz val="11"/>
      <color theme="1" tint="0.499984740745262"/>
      <name val="Calibri"/>
      <family val="2"/>
      <scheme val="minor"/>
    </font>
    <font>
      <vertAlign val="subscript"/>
      <sz val="11"/>
      <color theme="1"/>
      <name val="Calibri"/>
      <family val="2"/>
      <scheme val="minor"/>
    </font>
    <font>
      <b/>
      <sz val="10"/>
      <color theme="0"/>
      <name val="Calibri"/>
      <family val="2"/>
      <scheme val="minor"/>
    </font>
    <font>
      <b/>
      <sz val="18"/>
      <color rgb="FFFFFF00"/>
      <name val="Calibri"/>
      <family val="2"/>
      <scheme val="minor"/>
    </font>
    <font>
      <b/>
      <sz val="14"/>
      <color rgb="FFC00000"/>
      <name val="Calibri"/>
      <family val="2"/>
      <scheme val="minor"/>
    </font>
    <font>
      <b/>
      <sz val="11"/>
      <color theme="0" tint="-4.9989318521683403E-2"/>
      <name val="Calibri"/>
      <family val="2"/>
      <scheme val="minor"/>
    </font>
    <font>
      <b/>
      <sz val="14"/>
      <color theme="0" tint="-4.9989318521683403E-2"/>
      <name val="Calibri"/>
      <family val="2"/>
      <scheme val="minor"/>
    </font>
    <font>
      <b/>
      <sz val="11"/>
      <color rgb="FFFFFF99"/>
      <name val="Calibri"/>
      <family val="2"/>
      <scheme val="minor"/>
    </font>
    <font>
      <b/>
      <sz val="18"/>
      <color rgb="FFC00000"/>
      <name val="Calibri"/>
      <family val="2"/>
      <scheme val="minor"/>
    </font>
    <font>
      <b/>
      <sz val="10"/>
      <color theme="1"/>
      <name val="Calibri"/>
      <family val="2"/>
    </font>
    <font>
      <b/>
      <sz val="8"/>
      <color theme="1"/>
      <name val="Calibri"/>
      <family val="2"/>
      <scheme val="minor"/>
    </font>
    <font>
      <b/>
      <sz val="14"/>
      <color rgb="FFFF0000"/>
      <name val="Webdings"/>
      <family val="1"/>
      <charset val="2"/>
    </font>
    <font>
      <sz val="10"/>
      <color rgb="FFC00000"/>
      <name val="Calibri"/>
      <family val="2"/>
      <scheme val="minor"/>
    </font>
    <font>
      <sz val="10"/>
      <color theme="0" tint="-0.499984740745262"/>
      <name val="Calibri"/>
      <family val="2"/>
      <scheme val="minor"/>
    </font>
    <font>
      <b/>
      <sz val="11"/>
      <color theme="4" tint="-0.249977111117893"/>
      <name val="Calibri"/>
      <family val="2"/>
      <scheme val="minor"/>
    </font>
    <font>
      <b/>
      <sz val="14"/>
      <color rgb="FFFFFF00"/>
      <name val="Webdings"/>
      <family val="1"/>
      <charset val="2"/>
    </font>
    <font>
      <b/>
      <sz val="14"/>
      <name val="Calibri"/>
      <family val="2"/>
      <scheme val="minor"/>
    </font>
    <font>
      <b/>
      <sz val="12"/>
      <color theme="0" tint="-4.9989318521683403E-2"/>
      <name val="Calibri"/>
      <family val="2"/>
      <scheme val="minor"/>
    </font>
    <font>
      <b/>
      <sz val="10"/>
      <color theme="0" tint="-0.34998626667073579"/>
      <name val="Calibri"/>
      <family val="2"/>
      <scheme val="minor"/>
    </font>
    <font>
      <b/>
      <sz val="11"/>
      <color rgb="FFFFFF00"/>
      <name val="Webdings"/>
      <family val="1"/>
      <charset val="2"/>
    </font>
    <font>
      <b/>
      <sz val="11"/>
      <color rgb="FFFF0000"/>
      <name val="Webdings"/>
      <family val="1"/>
      <charset val="2"/>
    </font>
    <font>
      <b/>
      <sz val="10.5"/>
      <name val="Calibri"/>
      <family val="2"/>
      <scheme val="minor"/>
    </font>
    <font>
      <b/>
      <sz val="10.5"/>
      <color theme="1"/>
      <name val="Calibri"/>
      <family val="2"/>
      <scheme val="minor"/>
    </font>
    <font>
      <b/>
      <sz val="10.5"/>
      <color theme="4" tint="-0.249977111117893"/>
      <name val="Calibri"/>
      <family val="2"/>
      <scheme val="minor"/>
    </font>
    <font>
      <sz val="11"/>
      <color rgb="FFFF0000"/>
      <name val="Calibri"/>
      <family val="2"/>
      <scheme val="minor"/>
    </font>
    <font>
      <sz val="18"/>
      <color rgb="FFFF0000"/>
      <name val="Calibri"/>
      <family val="2"/>
      <scheme val="minor"/>
    </font>
    <font>
      <b/>
      <sz val="10.5"/>
      <color theme="1" tint="0.34998626667073579"/>
      <name val="Calibri"/>
      <family val="2"/>
      <scheme val="minor"/>
    </font>
    <font>
      <b/>
      <sz val="14"/>
      <color rgb="FFC00000"/>
      <name val="Webdings"/>
      <family val="1"/>
      <charset val="2"/>
    </font>
    <font>
      <b/>
      <sz val="26"/>
      <color rgb="FFFFC000"/>
      <name val="Calibri"/>
      <family val="2"/>
      <scheme val="minor"/>
    </font>
    <font>
      <sz val="12"/>
      <color rgb="FFFFC000"/>
      <name val="Calibri"/>
      <family val="2"/>
      <scheme val="minor"/>
    </font>
    <font>
      <b/>
      <sz val="10.5"/>
      <color theme="1" tint="0.499984740745262"/>
      <name val="Calibri"/>
      <family val="2"/>
      <scheme val="minor"/>
    </font>
    <font>
      <b/>
      <sz val="14"/>
      <color theme="0" tint="-4.9989318521683403E-2"/>
      <name val="Webdings"/>
      <family val="1"/>
      <charset val="2"/>
    </font>
    <font>
      <sz val="11"/>
      <color theme="0" tint="-4.9989318521683403E-2"/>
      <name val="Calibri"/>
      <family val="2"/>
      <scheme val="minor"/>
    </font>
    <font>
      <b/>
      <sz val="11"/>
      <color theme="0" tint="-0.499984740745262"/>
      <name val="Calibri"/>
      <family val="2"/>
      <scheme val="minor"/>
    </font>
    <font>
      <sz val="11"/>
      <color theme="1" tint="0.34998626667073579"/>
      <name val="Calibri"/>
      <family val="2"/>
      <scheme val="minor"/>
    </font>
    <font>
      <b/>
      <sz val="10"/>
      <color theme="0" tint="-0.499984740745262"/>
      <name val="Calibri"/>
      <family val="2"/>
      <scheme val="minor"/>
    </font>
    <font>
      <b/>
      <sz val="10"/>
      <color rgb="FFC00000"/>
      <name val="Calibri"/>
      <family val="2"/>
      <scheme val="minor"/>
    </font>
    <font>
      <b/>
      <sz val="14"/>
      <name val="Calibri"/>
      <family val="2"/>
    </font>
    <font>
      <b/>
      <sz val="9"/>
      <color theme="0" tint="-0.34998626667073579"/>
      <name val="Calibri"/>
      <family val="2"/>
      <scheme val="minor"/>
    </font>
    <font>
      <b/>
      <sz val="26"/>
      <color theme="0"/>
      <name val="Calibri"/>
      <family val="2"/>
      <scheme val="minor"/>
    </font>
    <font>
      <b/>
      <sz val="24"/>
      <color theme="0"/>
      <name val="Calibri"/>
      <family val="2"/>
      <scheme val="minor"/>
    </font>
    <font>
      <sz val="14"/>
      <color theme="1"/>
      <name val="Calibri"/>
      <family val="2"/>
      <scheme val="minor"/>
    </font>
    <font>
      <sz val="14"/>
      <color rgb="FF000000"/>
      <name val="Calibri"/>
      <family val="2"/>
      <scheme val="minor"/>
    </font>
    <font>
      <b/>
      <sz val="11"/>
      <color theme="0" tint="-0.34998626667073579"/>
      <name val="Calibri"/>
      <family val="2"/>
      <scheme val="minor"/>
    </font>
    <font>
      <b/>
      <sz val="12"/>
      <color rgb="FFC00000"/>
      <name val="Calibri"/>
      <family val="2"/>
      <scheme val="minor"/>
    </font>
    <font>
      <i/>
      <sz val="11"/>
      <color theme="1"/>
      <name val="Calibri"/>
      <family val="2"/>
      <scheme val="minor"/>
    </font>
    <font>
      <b/>
      <sz val="11"/>
      <color rgb="FFE60000"/>
      <name val="Calibri"/>
      <family val="2"/>
      <scheme val="minor"/>
    </font>
    <font>
      <b/>
      <sz val="10"/>
      <color theme="1"/>
      <name val="Calibri"/>
      <family val="2"/>
      <scheme val="minor"/>
    </font>
    <font>
      <b/>
      <sz val="9"/>
      <color theme="1"/>
      <name val="Calibri"/>
      <family val="2"/>
      <scheme val="minor"/>
    </font>
    <font>
      <b/>
      <sz val="8"/>
      <color rgb="FFC00000"/>
      <name val="Calibri"/>
      <family val="2"/>
      <scheme val="minor"/>
    </font>
    <font>
      <b/>
      <sz val="8"/>
      <color rgb="FFFFFF00"/>
      <name val="Calibri"/>
      <family val="2"/>
      <scheme val="minor"/>
    </font>
    <font>
      <sz val="8"/>
      <color theme="0" tint="-0.499984740745262"/>
      <name val="Calibri"/>
      <family val="2"/>
      <scheme val="minor"/>
    </font>
    <font>
      <sz val="8"/>
      <color rgb="FFFF0000"/>
      <name val="Calibri"/>
      <family val="2"/>
      <scheme val="minor"/>
    </font>
    <font>
      <b/>
      <sz val="14"/>
      <color theme="1" tint="0.14999847407452621"/>
      <name val="Calibri"/>
      <family val="2"/>
      <scheme val="minor"/>
    </font>
    <font>
      <b/>
      <sz val="11"/>
      <color theme="0" tint="-0.14999847407452621"/>
      <name val="Calibri"/>
      <family val="2"/>
      <scheme val="minor"/>
    </font>
    <font>
      <sz val="11"/>
      <color rgb="FFE60000"/>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bgColor indexed="64"/>
      </patternFill>
    </fill>
    <fill>
      <patternFill patternType="solid">
        <fgColor rgb="FFDAD7CB"/>
        <bgColor indexed="64"/>
      </patternFill>
    </fill>
    <fill>
      <patternFill patternType="solid">
        <fgColor rgb="FF69BE28"/>
        <bgColor indexed="64"/>
      </patternFill>
    </fill>
    <fill>
      <patternFill patternType="solid">
        <fgColor rgb="FFA5D87E"/>
        <bgColor indexed="64"/>
      </patternFill>
    </fill>
    <fill>
      <patternFill patternType="solid">
        <fgColor rgb="FFBFE6E9"/>
        <bgColor indexed="64"/>
      </patternFill>
    </fill>
    <fill>
      <patternFill patternType="solid">
        <fgColor rgb="FFFBFBFA"/>
        <bgColor indexed="64"/>
      </patternFill>
    </fill>
    <fill>
      <patternFill patternType="solid">
        <fgColor rgb="FFC3E5A9"/>
        <bgColor indexed="64"/>
      </patternFill>
    </fill>
    <fill>
      <patternFill patternType="solid">
        <fgColor rgb="FFEAEBEA"/>
        <bgColor indexed="64"/>
      </patternFill>
    </fill>
    <fill>
      <patternFill patternType="solid">
        <fgColor rgb="FFCCCDCC"/>
        <bgColor indexed="64"/>
      </patternFill>
    </fill>
    <fill>
      <patternFill patternType="solid">
        <fgColor rgb="FF848584"/>
        <bgColor indexed="64"/>
      </patternFill>
    </fill>
    <fill>
      <patternFill patternType="solid">
        <fgColor rgb="FFD9EFC9"/>
        <bgColor indexed="64"/>
      </patternFill>
    </fill>
    <fill>
      <patternFill patternType="solid">
        <fgColor rgb="FF686968"/>
        <bgColor indexed="64"/>
      </patternFill>
    </fill>
    <fill>
      <patternFill patternType="solid">
        <fgColor rgb="FFE9E7E0"/>
        <bgColor indexed="64"/>
      </patternFill>
    </fill>
    <fill>
      <patternFill patternType="solid">
        <fgColor rgb="FFFFFFFF"/>
        <bgColor indexed="64"/>
      </patternFill>
    </fill>
    <fill>
      <patternFill patternType="solid">
        <fgColor theme="9" tint="-0.249977111117893"/>
        <bgColor indexed="64"/>
      </patternFill>
    </fill>
    <fill>
      <patternFill patternType="solid">
        <fgColor rgb="FFC00000"/>
        <bgColor indexed="64"/>
      </patternFill>
    </fill>
    <fill>
      <patternFill patternType="solid">
        <fgColor rgb="FFFFC000"/>
        <bgColor indexed="64"/>
      </patternFill>
    </fill>
    <fill>
      <patternFill patternType="solid">
        <fgColor rgb="FFF2F2F2"/>
        <bgColor indexed="64"/>
      </patternFill>
    </fill>
    <fill>
      <patternFill patternType="solid">
        <fgColor theme="0" tint="-0.249977111117893"/>
        <bgColor indexed="64"/>
      </patternFill>
    </fill>
    <fill>
      <patternFill patternType="solid">
        <fgColor rgb="FFFFFFCC"/>
        <bgColor indexed="64"/>
      </patternFill>
    </fill>
    <fill>
      <patternFill patternType="solid">
        <fgColor theme="6"/>
        <bgColor indexed="64"/>
      </patternFill>
    </fill>
    <fill>
      <patternFill patternType="solid">
        <fgColor theme="1" tint="0.3499862666707357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006699"/>
        <bgColor indexed="64"/>
      </patternFill>
    </fill>
    <fill>
      <patternFill patternType="solid">
        <fgColor rgb="FF3F87AB"/>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theme="3"/>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EEECE2"/>
        <bgColor indexed="64"/>
      </patternFill>
    </fill>
    <fill>
      <patternFill patternType="solid">
        <fgColor rgb="FFFFFFCD"/>
        <bgColor indexed="64"/>
      </patternFill>
    </fill>
    <fill>
      <patternFill patternType="solid">
        <fgColor rgb="FFF5F8EE"/>
        <bgColor indexed="64"/>
      </patternFill>
    </fill>
    <fill>
      <patternFill patternType="solid">
        <fgColor rgb="FFEDF7F9"/>
        <bgColor indexed="64"/>
      </patternFill>
    </fill>
    <fill>
      <patternFill patternType="solid">
        <fgColor rgb="FFE2F3F6"/>
        <bgColor indexed="64"/>
      </patternFill>
    </fill>
  </fills>
  <borders count="216">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34998626667073579"/>
      </right>
      <top/>
      <bottom/>
      <diagonal/>
    </border>
    <border>
      <left style="medium">
        <color rgb="FF009AA6"/>
      </left>
      <right style="medium">
        <color rgb="FF009AA6"/>
      </right>
      <top style="medium">
        <color rgb="FF009AA6"/>
      </top>
      <bottom style="medium">
        <color rgb="FF009AA6"/>
      </bottom>
      <diagonal/>
    </border>
    <border>
      <left style="medium">
        <color rgb="FF009AA6"/>
      </left>
      <right/>
      <top style="medium">
        <color rgb="FF009AA6"/>
      </top>
      <bottom style="medium">
        <color rgb="FF009AA6"/>
      </bottom>
      <diagonal/>
    </border>
    <border>
      <left/>
      <right style="medium">
        <color rgb="FF009AA6"/>
      </right>
      <top style="medium">
        <color rgb="FF009AA6"/>
      </top>
      <bottom style="medium">
        <color rgb="FF009AA6"/>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medium">
        <color rgb="FFCCCDCC"/>
      </left>
      <right style="medium">
        <color rgb="FFCCCDCC"/>
      </right>
      <top style="medium">
        <color rgb="FFCCCDCC"/>
      </top>
      <bottom style="medium">
        <color rgb="FFCCCDCC"/>
      </bottom>
      <diagonal/>
    </border>
    <border>
      <left/>
      <right style="thin">
        <color theme="0" tint="-0.34998626667073579"/>
      </right>
      <top style="thin">
        <color theme="0" tint="-0.249977111117893"/>
      </top>
      <bottom/>
      <diagonal/>
    </border>
    <border>
      <left/>
      <right style="thin">
        <color theme="0" tint="-0.34998626667073579"/>
      </right>
      <top/>
      <bottom style="thin">
        <color theme="0" tint="-0.249977111117893"/>
      </bottom>
      <diagonal/>
    </border>
    <border>
      <left style="medium">
        <color rgb="FF009AA6"/>
      </left>
      <right style="medium">
        <color rgb="FF009AA6"/>
      </right>
      <top style="medium">
        <color rgb="FF009AA6"/>
      </top>
      <bottom/>
      <diagonal/>
    </border>
    <border>
      <left style="medium">
        <color rgb="FF009AA6"/>
      </left>
      <right style="medium">
        <color rgb="FF009AA6"/>
      </right>
      <top style="thin">
        <color theme="0" tint="-0.34998626667073579"/>
      </top>
      <bottom style="medium">
        <color rgb="FF009AA6"/>
      </bottom>
      <diagonal/>
    </border>
    <border>
      <left style="medium">
        <color rgb="FF009AA6"/>
      </left>
      <right/>
      <top style="thin">
        <color theme="0" tint="-0.34998626667073579"/>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9" tint="-0.249977111117893"/>
      </left>
      <right style="thin">
        <color theme="0" tint="-0.34998626667073579"/>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theme="9" tint="-0.249977111117893"/>
      </left>
      <right style="medium">
        <color theme="9" tint="-0.249977111117893"/>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top/>
      <bottom style="thin">
        <color theme="0" tint="-0.34998626667073579"/>
      </bottom>
      <diagonal/>
    </border>
    <border>
      <left/>
      <right style="medium">
        <color theme="9" tint="-0.249977111117893"/>
      </right>
      <top/>
      <bottom style="thin">
        <color theme="0" tint="-0.34998626667073579"/>
      </bottom>
      <diagonal/>
    </border>
    <border>
      <left style="medium">
        <color rgb="FF009AA6"/>
      </left>
      <right style="medium">
        <color rgb="FF009AA6"/>
      </right>
      <top style="thin">
        <color theme="0" tint="-0.34998626667073579"/>
      </top>
      <bottom/>
      <diagonal/>
    </border>
    <border>
      <left style="thin">
        <color theme="0" tint="-0.249977111117893"/>
      </left>
      <right/>
      <top style="thin">
        <color theme="0" tint="-0.34998626667073579"/>
      </top>
      <bottom/>
      <diagonal/>
    </border>
    <border>
      <left/>
      <right/>
      <top style="medium">
        <color theme="9" tint="-0.249977111117893"/>
      </top>
      <bottom style="medium">
        <color rgb="FF009AA6"/>
      </bottom>
      <diagonal/>
    </border>
    <border>
      <left style="medium">
        <color theme="9" tint="-0.249977111117893"/>
      </left>
      <right style="medium">
        <color theme="9" tint="-0.249977111117893"/>
      </right>
      <top style="thin">
        <color theme="0" tint="-0.34998626667073579"/>
      </top>
      <bottom style="medium">
        <color theme="9" tint="-0.249977111117893"/>
      </bottom>
      <diagonal/>
    </border>
    <border>
      <left style="thin">
        <color theme="0" tint="-0.34998626667073579"/>
      </left>
      <right style="medium">
        <color indexed="64"/>
      </right>
      <top style="medium">
        <color indexed="64"/>
      </top>
      <bottom style="medium">
        <color indexed="64"/>
      </bottom>
      <diagonal/>
    </border>
    <border>
      <left style="thin">
        <color theme="0" tint="-0.34998626667073579"/>
      </left>
      <right/>
      <top/>
      <bottom style="thin">
        <color theme="0" tint="-0.249977111117893"/>
      </bottom>
      <diagonal/>
    </border>
    <border>
      <left style="thin">
        <color indexed="64"/>
      </left>
      <right style="thin">
        <color indexed="64"/>
      </right>
      <top style="thin">
        <color indexed="64"/>
      </top>
      <bottom style="thin">
        <color theme="0" tint="-0.34998626667073579"/>
      </bottom>
      <diagonal/>
    </border>
    <border>
      <left style="medium">
        <color theme="1" tint="0.34998626667073579"/>
      </left>
      <right/>
      <top/>
      <bottom style="medium">
        <color theme="1"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848584"/>
      </left>
      <right/>
      <top/>
      <bottom style="thin">
        <color theme="0" tint="-0.34998626667073579"/>
      </bottom>
      <diagonal/>
    </border>
    <border>
      <left style="thin">
        <color rgb="FF848584"/>
      </left>
      <right/>
      <top/>
      <bottom/>
      <diagonal/>
    </border>
    <border>
      <left/>
      <right style="thin">
        <color rgb="FF848584"/>
      </right>
      <top/>
      <bottom style="thin">
        <color theme="0" tint="-0.34998626667073579"/>
      </bottom>
      <diagonal/>
    </border>
    <border>
      <left/>
      <right style="thin">
        <color rgb="FF848584"/>
      </right>
      <top style="thin">
        <color theme="0" tint="-0.34998626667073579"/>
      </top>
      <bottom/>
      <diagonal/>
    </border>
    <border>
      <left style="thin">
        <color rgb="FF848584"/>
      </left>
      <right/>
      <top style="thin">
        <color rgb="FF848584"/>
      </top>
      <bottom/>
      <diagonal/>
    </border>
    <border>
      <left/>
      <right/>
      <top style="thin">
        <color rgb="FF848584"/>
      </top>
      <bottom/>
      <diagonal/>
    </border>
    <border>
      <left/>
      <right style="thin">
        <color rgb="FF848584"/>
      </right>
      <top style="thin">
        <color rgb="FF848584"/>
      </top>
      <bottom/>
      <diagonal/>
    </border>
    <border>
      <left/>
      <right style="thin">
        <color rgb="FF848584"/>
      </right>
      <top/>
      <bottom/>
      <diagonal/>
    </border>
    <border>
      <left style="thin">
        <color rgb="FF848584"/>
      </left>
      <right/>
      <top/>
      <bottom style="thin">
        <color rgb="FF848584"/>
      </bottom>
      <diagonal/>
    </border>
    <border>
      <left/>
      <right/>
      <top/>
      <bottom style="thin">
        <color rgb="FF848584"/>
      </bottom>
      <diagonal/>
    </border>
    <border>
      <left/>
      <right style="thin">
        <color rgb="FF848584"/>
      </right>
      <top/>
      <bottom style="thin">
        <color rgb="FF848584"/>
      </bottom>
      <diagonal/>
    </border>
    <border>
      <left style="thin">
        <color theme="1" tint="0.34998626667073579"/>
      </left>
      <right style="thin">
        <color theme="1" tint="0.34998626667073579"/>
      </right>
      <top style="thin">
        <color theme="1" tint="0.34998626667073579"/>
      </top>
      <bottom style="thin">
        <color rgb="FF848584"/>
      </bottom>
      <diagonal/>
    </border>
    <border>
      <left style="thin">
        <color theme="1" tint="0.34998626667073579"/>
      </left>
      <right style="thin">
        <color rgb="FF848584"/>
      </right>
      <top style="thin">
        <color theme="1" tint="0.34998626667073579"/>
      </top>
      <bottom style="thin">
        <color rgb="FF848584"/>
      </bottom>
      <diagonal/>
    </border>
    <border>
      <left style="thin">
        <color indexed="64"/>
      </left>
      <right/>
      <top style="medium">
        <color theme="1" tint="0.34998626667073579"/>
      </top>
      <bottom style="thin">
        <color theme="1" tint="0.34998626667073579"/>
      </bottom>
      <diagonal/>
    </border>
    <border>
      <left/>
      <right style="thin">
        <color rgb="FF848584"/>
      </right>
      <top style="medium">
        <color theme="1" tint="0.34998626667073579"/>
      </top>
      <bottom style="thin">
        <color theme="1" tint="0.34998626667073579"/>
      </bottom>
      <diagonal/>
    </border>
    <border>
      <left style="medium">
        <color rgb="FF848584"/>
      </left>
      <right/>
      <top style="medium">
        <color rgb="FF848584"/>
      </top>
      <bottom style="medium">
        <color rgb="FF848584"/>
      </bottom>
      <diagonal/>
    </border>
    <border>
      <left/>
      <right style="medium">
        <color rgb="FF848584"/>
      </right>
      <top style="medium">
        <color rgb="FF848584"/>
      </top>
      <bottom style="medium">
        <color rgb="FF848584"/>
      </bottom>
      <diagonal/>
    </border>
    <border>
      <left/>
      <right style="thin">
        <color rgb="FF848584"/>
      </right>
      <top/>
      <bottom style="medium">
        <color theme="1"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EAEBEA"/>
      </left>
      <right style="thin">
        <color indexed="64"/>
      </right>
      <top style="thin">
        <color indexed="64"/>
      </top>
      <bottom style="thin">
        <color indexed="64"/>
      </bottom>
      <diagonal/>
    </border>
    <border>
      <left style="thin">
        <color rgb="FFEAEBEA"/>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bottom style="thin">
        <color theme="1" tint="0.499984740745262"/>
      </bottom>
      <diagonal/>
    </border>
    <border>
      <left style="thin">
        <color theme="1" tint="0.499984740745262"/>
      </left>
      <right style="thin">
        <color theme="0" tint="-0.249977111117893"/>
      </right>
      <top style="thin">
        <color theme="1" tint="0.499984740745262"/>
      </top>
      <bottom style="thin">
        <color theme="0" tint="-0.249977111117893"/>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indexed="64"/>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4.9989318521683403E-2"/>
      </right>
      <top/>
      <bottom style="thin">
        <color theme="0" tint="-4.9989318521683403E-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style="thin">
        <color theme="0" tint="-0.34998626667073579"/>
      </left>
      <right style="medium">
        <color theme="0" tint="-0.34998626667073579"/>
      </right>
      <top style="thin">
        <color theme="0" tint="-0.34998626667073579"/>
      </top>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right style="medium">
        <color theme="0" tint="-0.34998626667073579"/>
      </right>
      <top/>
      <bottom style="thin">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1"/>
      </left>
      <right/>
      <top style="thin">
        <color theme="1"/>
      </top>
      <bottom style="thin">
        <color theme="1"/>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6" tint="-0.249977111117893"/>
      </left>
      <right/>
      <top style="thick">
        <color theme="6" tint="-0.249977111117893"/>
      </top>
      <bottom style="thick">
        <color theme="6" tint="-0.249977111117893"/>
      </bottom>
      <diagonal/>
    </border>
    <border>
      <left/>
      <right/>
      <top style="thick">
        <color theme="6" tint="-0.249977111117893"/>
      </top>
      <bottom style="thick">
        <color theme="6" tint="-0.249977111117893"/>
      </bottom>
      <diagonal/>
    </border>
    <border>
      <left/>
      <right style="thick">
        <color theme="6" tint="-0.249977111117893"/>
      </right>
      <top style="thick">
        <color theme="6" tint="-0.249977111117893"/>
      </top>
      <bottom style="thick">
        <color theme="6" tint="-0.249977111117893"/>
      </bottom>
      <diagonal/>
    </border>
    <border>
      <left style="thin">
        <color theme="1"/>
      </left>
      <right style="thin">
        <color theme="1"/>
      </right>
      <top style="thin">
        <color theme="1"/>
      </top>
      <bottom style="thin">
        <color theme="1"/>
      </bottom>
      <diagonal/>
    </border>
    <border>
      <left style="thick">
        <color theme="6" tint="-0.249977111117893"/>
      </left>
      <right style="thick">
        <color theme="6" tint="-0.249977111117893"/>
      </right>
      <top style="thick">
        <color theme="6" tint="-0.249977111117893"/>
      </top>
      <bottom/>
      <diagonal/>
    </border>
    <border>
      <left style="thick">
        <color theme="6" tint="-0.249977111117893"/>
      </left>
      <right style="thick">
        <color theme="6" tint="-0.249977111117893"/>
      </right>
      <top/>
      <bottom style="thick">
        <color theme="6" tint="-0.249977111117893"/>
      </bottom>
      <diagonal/>
    </border>
    <border>
      <left style="thick">
        <color theme="6" tint="-0.249977111117893"/>
      </left>
      <right/>
      <top style="thick">
        <color theme="6" tint="-0.249977111117893"/>
      </top>
      <bottom/>
      <diagonal/>
    </border>
    <border>
      <left/>
      <right style="thick">
        <color theme="6" tint="-0.249977111117893"/>
      </right>
      <top style="thick">
        <color theme="6" tint="-0.249977111117893"/>
      </top>
      <bottom/>
      <diagonal/>
    </border>
    <border>
      <left style="thick">
        <color theme="6" tint="-0.249977111117893"/>
      </left>
      <right/>
      <top/>
      <bottom style="thick">
        <color theme="6" tint="-0.249977111117893"/>
      </bottom>
      <diagonal/>
    </border>
    <border>
      <left/>
      <right style="thick">
        <color theme="6" tint="-0.249977111117893"/>
      </right>
      <top/>
      <bottom style="thick">
        <color theme="6" tint="-0.249977111117893"/>
      </bottom>
      <diagonal/>
    </border>
    <border>
      <left style="thick">
        <color theme="0" tint="-0.14999847407452621"/>
      </left>
      <right style="thick">
        <color theme="0" tint="-0.14999847407452621"/>
      </right>
      <top style="thick">
        <color theme="0" tint="-0.14999847407452621"/>
      </top>
      <bottom style="thick">
        <color theme="0" tint="-0.14999847407452621"/>
      </bottom>
      <diagonal/>
    </border>
    <border>
      <left style="thick">
        <color theme="0" tint="-0.14999847407452621"/>
      </left>
      <right/>
      <top style="thick">
        <color theme="0" tint="-0.14999847407452621"/>
      </top>
      <bottom/>
      <diagonal/>
    </border>
    <border>
      <left/>
      <right/>
      <top style="thick">
        <color theme="0" tint="-0.14999847407452621"/>
      </top>
      <bottom/>
      <diagonal/>
    </border>
    <border>
      <left/>
      <right style="thick">
        <color theme="0" tint="-0.14999847407452621"/>
      </right>
      <top style="thick">
        <color theme="0" tint="-0.14999847407452621"/>
      </top>
      <bottom/>
      <diagonal/>
    </border>
    <border>
      <left style="thick">
        <color theme="0" tint="-0.14999847407452621"/>
      </left>
      <right/>
      <top/>
      <bottom/>
      <diagonal/>
    </border>
    <border>
      <left/>
      <right style="thick">
        <color theme="0" tint="-0.14999847407452621"/>
      </right>
      <top/>
      <bottom/>
      <diagonal/>
    </border>
    <border>
      <left style="thick">
        <color theme="0" tint="-0.14999847407452621"/>
      </left>
      <right/>
      <top/>
      <bottom style="thick">
        <color theme="0" tint="-0.14999847407452621"/>
      </bottom>
      <diagonal/>
    </border>
    <border>
      <left/>
      <right/>
      <top/>
      <bottom style="thick">
        <color theme="0" tint="-0.14999847407452621"/>
      </bottom>
      <diagonal/>
    </border>
    <border>
      <left/>
      <right style="thick">
        <color theme="0" tint="-0.14999847407452621"/>
      </right>
      <top/>
      <bottom style="thick">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medium">
        <color theme="0" tint="-0.34998626667073579"/>
      </bottom>
      <diagonal/>
    </border>
    <border>
      <left/>
      <right style="thin">
        <color theme="0" tint="-0.14999847407452621"/>
      </right>
      <top/>
      <bottom style="medium">
        <color theme="0" tint="-0.34998626667073579"/>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ck">
        <color theme="6"/>
      </left>
      <right style="thick">
        <color theme="6"/>
      </right>
      <top/>
      <bottom style="thick">
        <color theme="6"/>
      </bottom>
      <diagonal/>
    </border>
    <border>
      <left style="thick">
        <color theme="6" tint="-0.249977111117893"/>
      </left>
      <right style="thick">
        <color theme="6" tint="-0.249977111117893"/>
      </right>
      <top/>
      <bottom/>
      <diagonal/>
    </border>
    <border>
      <left/>
      <right style="medium">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249977111117893"/>
      </right>
      <top/>
      <bottom/>
      <diagonal/>
    </border>
    <border>
      <left style="thin">
        <color theme="0" tint="-0.34998626667073579"/>
      </left>
      <right style="thin">
        <color theme="0" tint="-0.499984740745262"/>
      </right>
      <top style="thin">
        <color theme="0" tint="-0.34998626667073579"/>
      </top>
      <bottom/>
      <diagonal/>
    </border>
    <border>
      <left style="thin">
        <color theme="0" tint="-0.34998626667073579"/>
      </left>
      <right style="thin">
        <color theme="0" tint="-0.499984740745262"/>
      </right>
      <top/>
      <bottom style="thin">
        <color theme="0" tint="-0.34998626667073579"/>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theme="0" tint="-0.34998626667073579"/>
      </left>
      <right/>
      <top style="thin">
        <color theme="0" tint="-0.34998626667073579"/>
      </top>
      <bottom style="medium">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thin">
        <color indexed="64"/>
      </top>
      <bottom style="thin">
        <color indexed="64"/>
      </bottom>
      <diagonal/>
    </border>
    <border>
      <left style="medium">
        <color theme="0" tint="-0.34998626667073579"/>
      </left>
      <right/>
      <top style="thin">
        <color indexed="64"/>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ck">
        <color theme="6" tint="-0.249977111117893"/>
      </left>
      <right style="thick">
        <color theme="6" tint="-0.249977111117893"/>
      </right>
      <top style="thin">
        <color theme="0" tint="-0.34998626667073579"/>
      </top>
      <bottom style="thick">
        <color theme="6" tint="-0.249977111117893"/>
      </bottom>
      <diagonal/>
    </border>
    <border>
      <left style="medium">
        <color theme="6"/>
      </left>
      <right style="medium">
        <color theme="6"/>
      </right>
      <top style="thin">
        <color theme="0" tint="-0.34998626667073579"/>
      </top>
      <bottom style="medium">
        <color theme="6"/>
      </bottom>
      <diagonal/>
    </border>
  </borders>
  <cellStyleXfs count="5">
    <xf numFmtId="0" fontId="0"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938">
    <xf numFmtId="0" fontId="0" fillId="0" borderId="0" xfId="0"/>
    <xf numFmtId="0" fontId="6" fillId="0" borderId="0" xfId="0" applyFont="1"/>
    <xf numFmtId="164" fontId="6" fillId="0" borderId="0" xfId="0" applyNumberFormat="1" applyFont="1"/>
    <xf numFmtId="0" fontId="0" fillId="0" borderId="0" xfId="0" applyAlignment="1">
      <alignment horizontal="center"/>
    </xf>
    <xf numFmtId="0" fontId="0" fillId="0" borderId="0" xfId="0" applyAlignment="1">
      <alignment vertical="center"/>
    </xf>
    <xf numFmtId="0" fontId="3" fillId="0" borderId="0" xfId="0" applyFont="1"/>
    <xf numFmtId="0" fontId="3" fillId="0" borderId="0" xfId="0" applyFont="1" applyAlignment="1">
      <alignment horizontal="center"/>
    </xf>
    <xf numFmtId="0" fontId="0" fillId="3" borderId="0" xfId="0" applyFill="1"/>
    <xf numFmtId="0" fontId="0" fillId="3" borderId="0" xfId="0" applyFill="1" applyAlignment="1">
      <alignment horizontal="center"/>
    </xf>
    <xf numFmtId="0" fontId="15" fillId="0" borderId="0" xfId="0" applyFont="1"/>
    <xf numFmtId="0" fontId="15" fillId="0" borderId="0" xfId="0" applyFont="1" applyAlignment="1">
      <alignment horizontal="center"/>
    </xf>
    <xf numFmtId="14" fontId="0" fillId="3" borderId="0" xfId="0" applyNumberFormat="1" applyFill="1" applyAlignment="1">
      <alignment horizontal="center"/>
    </xf>
    <xf numFmtId="0" fontId="16" fillId="3" borderId="0" xfId="0" applyFont="1" applyFill="1" applyAlignment="1">
      <alignment horizontal="center"/>
    </xf>
    <xf numFmtId="164" fontId="3" fillId="3" borderId="0" xfId="0" applyNumberFormat="1" applyFont="1" applyFill="1" applyAlignment="1">
      <alignment horizontal="center"/>
    </xf>
    <xf numFmtId="0" fontId="3" fillId="3" borderId="0" xfId="0" applyFont="1" applyFill="1" applyAlignment="1">
      <alignment horizontal="center"/>
    </xf>
    <xf numFmtId="0" fontId="2" fillId="0" borderId="0" xfId="0" applyFont="1"/>
    <xf numFmtId="0" fontId="19" fillId="3" borderId="0" xfId="0" applyFont="1" applyFill="1" applyAlignment="1">
      <alignment horizontal="center"/>
    </xf>
    <xf numFmtId="0" fontId="0" fillId="0" borderId="0" xfId="0" applyAlignment="1">
      <alignment horizontal="center" vertical="center"/>
    </xf>
    <xf numFmtId="1" fontId="3" fillId="3" borderId="0" xfId="0" applyNumberFormat="1" applyFont="1" applyFill="1" applyAlignment="1">
      <alignment horizontal="center"/>
    </xf>
    <xf numFmtId="164" fontId="3" fillId="3" borderId="0" xfId="1" applyNumberFormat="1" applyFont="1" applyFill="1" applyBorder="1" applyAlignment="1" applyProtection="1">
      <alignment horizontal="center"/>
    </xf>
    <xf numFmtId="0" fontId="3" fillId="3" borderId="0" xfId="0" applyFont="1" applyFill="1"/>
    <xf numFmtId="0" fontId="15" fillId="3" borderId="0" xfId="0" applyFont="1" applyFill="1"/>
    <xf numFmtId="0" fontId="15" fillId="3" borderId="0" xfId="0" applyFont="1" applyFill="1" applyAlignment="1">
      <alignment horizontal="center"/>
    </xf>
    <xf numFmtId="9" fontId="3" fillId="0" borderId="0" xfId="1" applyFont="1" applyBorder="1" applyAlignment="1" applyProtection="1">
      <alignment horizontal="center"/>
    </xf>
    <xf numFmtId="164" fontId="16" fillId="0" borderId="0" xfId="0" applyNumberFormat="1" applyFont="1"/>
    <xf numFmtId="0" fontId="7" fillId="3" borderId="0" xfId="0" applyFont="1" applyFill="1" applyAlignment="1">
      <alignment horizontal="center"/>
    </xf>
    <xf numFmtId="0" fontId="0" fillId="3" borderId="0" xfId="0" applyFill="1" applyAlignment="1">
      <alignment horizontal="left"/>
    </xf>
    <xf numFmtId="0" fontId="2" fillId="3" borderId="0" xfId="0" applyFont="1" applyFill="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4" fillId="3" borderId="0" xfId="0" applyFont="1" applyFill="1" applyAlignment="1">
      <alignment horizontal="center"/>
    </xf>
    <xf numFmtId="0" fontId="12" fillId="3" borderId="0" xfId="0" applyFont="1" applyFill="1" applyAlignment="1">
      <alignment horizontal="center"/>
    </xf>
    <xf numFmtId="0" fontId="0" fillId="3" borderId="0" xfId="0" applyFill="1" applyAlignment="1">
      <alignment horizontal="center" vertical="center"/>
    </xf>
    <xf numFmtId="0" fontId="32" fillId="0" borderId="0" xfId="0" applyFont="1" applyAlignment="1">
      <alignment horizontal="left" vertical="center"/>
    </xf>
    <xf numFmtId="0" fontId="33" fillId="3" borderId="0" xfId="0" applyFont="1" applyFill="1"/>
    <xf numFmtId="0" fontId="34" fillId="3" borderId="0" xfId="0" applyFont="1" applyFill="1" applyAlignment="1">
      <alignment horizontal="center"/>
    </xf>
    <xf numFmtId="0" fontId="33" fillId="0" borderId="0" xfId="0" applyFont="1"/>
    <xf numFmtId="164" fontId="34" fillId="3" borderId="0" xfId="0" applyNumberFormat="1" applyFont="1" applyFill="1" applyAlignment="1">
      <alignment horizontal="center"/>
    </xf>
    <xf numFmtId="1" fontId="34" fillId="3" borderId="0" xfId="0" applyNumberFormat="1" applyFont="1" applyFill="1" applyAlignment="1">
      <alignment horizontal="center"/>
    </xf>
    <xf numFmtId="0" fontId="33" fillId="0" borderId="0" xfId="0" applyFont="1" applyAlignment="1">
      <alignment horizontal="center"/>
    </xf>
    <xf numFmtId="165" fontId="34" fillId="3" borderId="0" xfId="0" applyNumberFormat="1" applyFont="1" applyFill="1" applyAlignment="1">
      <alignment horizontal="center"/>
    </xf>
    <xf numFmtId="9" fontId="33" fillId="3" borderId="0" xfId="1" applyFont="1" applyFill="1" applyAlignment="1" applyProtection="1">
      <alignment horizontal="center"/>
    </xf>
    <xf numFmtId="0" fontId="16" fillId="5" borderId="0" xfId="0" quotePrefix="1" applyFont="1" applyFill="1"/>
    <xf numFmtId="0" fontId="32" fillId="3" borderId="0" xfId="0" applyFont="1" applyFill="1" applyAlignment="1">
      <alignment horizontal="left" vertical="center"/>
    </xf>
    <xf numFmtId="0" fontId="0" fillId="4" borderId="0" xfId="0" applyFill="1"/>
    <xf numFmtId="0" fontId="29" fillId="3" borderId="0" xfId="0" applyFont="1" applyFill="1" applyAlignment="1">
      <alignment horizontal="left" vertical="center"/>
    </xf>
    <xf numFmtId="0" fontId="33" fillId="3" borderId="0" xfId="0" applyFont="1" applyFill="1" applyAlignment="1">
      <alignment horizontal="left"/>
    </xf>
    <xf numFmtId="164" fontId="33" fillId="3" borderId="0" xfId="0" applyNumberFormat="1" applyFont="1" applyFill="1" applyAlignment="1">
      <alignment horizontal="center"/>
    </xf>
    <xf numFmtId="0" fontId="33" fillId="3" borderId="0" xfId="0" applyFont="1" applyFill="1" applyAlignment="1">
      <alignment horizontal="center"/>
    </xf>
    <xf numFmtId="1" fontId="33" fillId="3" borderId="0" xfId="0" applyNumberFormat="1" applyFont="1" applyFill="1" applyAlignment="1">
      <alignment horizontal="center"/>
    </xf>
    <xf numFmtId="166" fontId="33" fillId="3" borderId="0" xfId="0" applyNumberFormat="1" applyFont="1" applyFill="1" applyAlignment="1">
      <alignment horizontal="center"/>
    </xf>
    <xf numFmtId="0" fontId="4" fillId="3" borderId="0" xfId="0" applyFont="1" applyFill="1"/>
    <xf numFmtId="0" fontId="0" fillId="0" borderId="0" xfId="0" applyAlignment="1">
      <alignment horizontal="left"/>
    </xf>
    <xf numFmtId="0" fontId="0" fillId="3" borderId="0" xfId="0" applyFill="1" applyAlignment="1">
      <alignment vertical="center"/>
    </xf>
    <xf numFmtId="0" fontId="2" fillId="3" borderId="0" xfId="0" applyFont="1" applyFill="1" applyAlignment="1">
      <alignment horizontal="left" vertical="center"/>
    </xf>
    <xf numFmtId="0" fontId="2" fillId="3" borderId="0" xfId="0" applyFont="1" applyFill="1" applyAlignment="1">
      <alignment vertical="center"/>
    </xf>
    <xf numFmtId="0" fontId="42" fillId="3" borderId="0" xfId="0" applyFont="1" applyFill="1"/>
    <xf numFmtId="164" fontId="13" fillId="3" borderId="6" xfId="0" applyNumberFormat="1" applyFont="1" applyFill="1" applyBorder="1" applyAlignment="1">
      <alignment horizontal="center" vertical="center"/>
    </xf>
    <xf numFmtId="1" fontId="13" fillId="3" borderId="6" xfId="0" applyNumberFormat="1" applyFont="1" applyFill="1" applyBorder="1" applyAlignment="1">
      <alignment horizontal="center" vertical="center"/>
    </xf>
    <xf numFmtId="0" fontId="9" fillId="3" borderId="6" xfId="0" applyFont="1" applyFill="1" applyBorder="1" applyAlignment="1">
      <alignment horizontal="center" vertical="center"/>
    </xf>
    <xf numFmtId="0" fontId="9" fillId="3" borderId="6" xfId="0" quotePrefix="1" applyFont="1" applyFill="1" applyBorder="1" applyAlignment="1">
      <alignment horizontal="center" vertical="center"/>
    </xf>
    <xf numFmtId="1" fontId="9" fillId="3" borderId="6" xfId="0" applyNumberFormat="1"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44" fontId="13" fillId="3" borderId="6" xfId="2" applyFont="1" applyFill="1" applyBorder="1" applyAlignment="1" applyProtection="1">
      <alignment horizontal="center" vertical="center"/>
    </xf>
    <xf numFmtId="168" fontId="13" fillId="3" borderId="6" xfId="2" applyNumberFormat="1" applyFont="1" applyFill="1" applyBorder="1" applyAlignment="1" applyProtection="1">
      <alignment horizontal="center" vertical="center"/>
    </xf>
    <xf numFmtId="0" fontId="42" fillId="3" borderId="0" xfId="0" applyFont="1" applyFill="1" applyAlignment="1">
      <alignment horizontal="center" vertical="center"/>
    </xf>
    <xf numFmtId="0" fontId="42" fillId="3" borderId="0" xfId="0" applyFont="1" applyFill="1" applyAlignment="1">
      <alignment horizontal="center"/>
    </xf>
    <xf numFmtId="164" fontId="0" fillId="4" borderId="0" xfId="0" applyNumberFormat="1" applyFill="1" applyAlignment="1">
      <alignment horizontal="center" vertical="center"/>
    </xf>
    <xf numFmtId="0" fontId="2" fillId="4" borderId="0" xfId="0" applyFont="1" applyFill="1" applyAlignment="1">
      <alignment horizontal="center" vertical="center"/>
    </xf>
    <xf numFmtId="164" fontId="0" fillId="3" borderId="0" xfId="0" applyNumberFormat="1" applyFill="1" applyAlignment="1">
      <alignment horizontal="center" vertical="center"/>
    </xf>
    <xf numFmtId="164" fontId="39" fillId="3" borderId="0" xfId="0" quotePrefix="1" applyNumberFormat="1" applyFont="1" applyFill="1" applyAlignment="1">
      <alignment horizontal="center"/>
    </xf>
    <xf numFmtId="1" fontId="39" fillId="3" borderId="0" xfId="0" quotePrefix="1" applyNumberFormat="1" applyFont="1" applyFill="1" applyAlignment="1">
      <alignment horizontal="center"/>
    </xf>
    <xf numFmtId="164" fontId="16" fillId="3" borderId="0" xfId="0" quotePrefix="1" applyNumberFormat="1" applyFont="1" applyFill="1" applyAlignment="1">
      <alignment horizontal="center"/>
    </xf>
    <xf numFmtId="1" fontId="22" fillId="3" borderId="0" xfId="0" applyNumberFormat="1" applyFont="1" applyFill="1" applyAlignment="1">
      <alignment horizontal="center" vertical="center"/>
    </xf>
    <xf numFmtId="1" fontId="23" fillId="3" borderId="0" xfId="0" applyNumberFormat="1" applyFont="1" applyFill="1" applyAlignment="1">
      <alignment horizontal="center"/>
    </xf>
    <xf numFmtId="0" fontId="0" fillId="4" borderId="0" xfId="0" applyFill="1" applyAlignment="1">
      <alignment horizontal="center"/>
    </xf>
    <xf numFmtId="1" fontId="9" fillId="3" borderId="6" xfId="1" applyNumberFormat="1" applyFont="1" applyFill="1" applyBorder="1" applyAlignment="1" applyProtection="1">
      <alignment horizontal="center" vertical="center" wrapText="1"/>
    </xf>
    <xf numFmtId="164" fontId="33" fillId="0" borderId="0" xfId="0" applyNumberFormat="1" applyFont="1" applyAlignment="1">
      <alignment horizontal="center"/>
    </xf>
    <xf numFmtId="164" fontId="23" fillId="3" borderId="0" xfId="0" applyNumberFormat="1" applyFont="1" applyFill="1" applyAlignment="1">
      <alignment horizontal="center" vertical="center"/>
    </xf>
    <xf numFmtId="0" fontId="3" fillId="0" borderId="0" xfId="0" applyFont="1" applyAlignment="1">
      <alignment horizontal="center" vertical="center"/>
    </xf>
    <xf numFmtId="0" fontId="0" fillId="11" borderId="9" xfId="0" applyFill="1" applyBorder="1" applyAlignment="1">
      <alignment horizontal="center"/>
    </xf>
    <xf numFmtId="0" fontId="0" fillId="11" borderId="2" xfId="0" applyFill="1" applyBorder="1" applyAlignment="1">
      <alignment horizontal="center"/>
    </xf>
    <xf numFmtId="0" fontId="0" fillId="11" borderId="9" xfId="0" applyFill="1" applyBorder="1" applyAlignment="1">
      <alignment horizontal="center" vertical="center"/>
    </xf>
    <xf numFmtId="0" fontId="0" fillId="11" borderId="2" xfId="0" applyFill="1" applyBorder="1" applyAlignment="1">
      <alignment horizontal="center" vertical="center"/>
    </xf>
    <xf numFmtId="164" fontId="44" fillId="11" borderId="2" xfId="0" quotePrefix="1" applyNumberFormat="1" applyFont="1" applyFill="1" applyBorder="1" applyAlignment="1">
      <alignment horizontal="left"/>
    </xf>
    <xf numFmtId="0" fontId="4" fillId="11" borderId="2" xfId="0" applyFont="1" applyFill="1" applyBorder="1" applyAlignment="1">
      <alignment horizontal="center" vertical="center"/>
    </xf>
    <xf numFmtId="0" fontId="12" fillId="11" borderId="2" xfId="0" applyFont="1" applyFill="1" applyBorder="1" applyAlignment="1">
      <alignment horizontal="center" vertical="center"/>
    </xf>
    <xf numFmtId="164" fontId="16" fillId="11" borderId="2" xfId="0" quotePrefix="1" applyNumberFormat="1" applyFont="1" applyFill="1" applyBorder="1" applyAlignment="1">
      <alignment horizontal="center" vertical="center"/>
    </xf>
    <xf numFmtId="164" fontId="23" fillId="11" borderId="2" xfId="0" applyNumberFormat="1" applyFont="1" applyFill="1" applyBorder="1" applyAlignment="1">
      <alignment horizontal="center" vertical="center"/>
    </xf>
    <xf numFmtId="1" fontId="22" fillId="11" borderId="2" xfId="0" applyNumberFormat="1" applyFont="1" applyFill="1" applyBorder="1" applyAlignment="1">
      <alignment horizontal="center" vertical="center"/>
    </xf>
    <xf numFmtId="1" fontId="23" fillId="11" borderId="2" xfId="0" applyNumberFormat="1" applyFont="1" applyFill="1" applyBorder="1" applyAlignment="1">
      <alignment horizontal="center" vertical="center"/>
    </xf>
    <xf numFmtId="1" fontId="23" fillId="11" borderId="8" xfId="0" applyNumberFormat="1" applyFont="1" applyFill="1" applyBorder="1" applyAlignment="1">
      <alignment horizontal="center" vertical="center"/>
    </xf>
    <xf numFmtId="1" fontId="44" fillId="11" borderId="2" xfId="0" quotePrefix="1" applyNumberFormat="1" applyFont="1" applyFill="1" applyBorder="1" applyAlignment="1">
      <alignment horizontal="center"/>
    </xf>
    <xf numFmtId="0" fontId="2"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left" vertical="center"/>
    </xf>
    <xf numFmtId="0" fontId="0" fillId="3" borderId="0" xfId="0" applyFill="1" applyAlignment="1">
      <alignment horizontal="left" vertical="center"/>
    </xf>
    <xf numFmtId="0" fontId="0" fillId="3" borderId="5" xfId="0" applyFill="1" applyBorder="1" applyAlignment="1">
      <alignment vertical="center"/>
    </xf>
    <xf numFmtId="0" fontId="0" fillId="3" borderId="7" xfId="0" applyFill="1" applyBorder="1" applyAlignment="1">
      <alignment vertical="center"/>
    </xf>
    <xf numFmtId="0" fontId="0" fillId="3" borderId="7" xfId="0" applyFill="1" applyBorder="1" applyAlignment="1">
      <alignment horizontal="left" vertical="center"/>
    </xf>
    <xf numFmtId="0" fontId="0" fillId="3" borderId="9" xfId="0" applyFill="1" applyBorder="1" applyAlignment="1">
      <alignment vertical="center"/>
    </xf>
    <xf numFmtId="0" fontId="0" fillId="3" borderId="1" xfId="0" applyFill="1" applyBorder="1" applyAlignment="1">
      <alignment vertical="center"/>
    </xf>
    <xf numFmtId="0" fontId="0" fillId="3" borderId="2" xfId="0" applyFill="1" applyBorder="1" applyAlignment="1">
      <alignment vertical="center"/>
    </xf>
    <xf numFmtId="0" fontId="2" fillId="4" borderId="0" xfId="0" applyFont="1" applyFill="1" applyAlignment="1">
      <alignment horizontal="left" vertical="center"/>
    </xf>
    <xf numFmtId="0" fontId="13" fillId="4" borderId="0" xfId="0" applyFont="1" applyFill="1" applyAlignment="1">
      <alignment horizontal="left" vertical="center"/>
    </xf>
    <xf numFmtId="0" fontId="0" fillId="4" borderId="0" xfId="0" applyFill="1" applyAlignment="1">
      <alignment horizontal="center" vertical="center"/>
    </xf>
    <xf numFmtId="0" fontId="0" fillId="3" borderId="4" xfId="0" applyFill="1" applyBorder="1" applyAlignment="1">
      <alignment vertical="center"/>
    </xf>
    <xf numFmtId="0" fontId="0" fillId="3" borderId="3" xfId="0" applyFill="1" applyBorder="1" applyAlignment="1">
      <alignment vertical="center"/>
    </xf>
    <xf numFmtId="0" fontId="0" fillId="3" borderId="3" xfId="0" applyFill="1" applyBorder="1" applyAlignment="1">
      <alignment horizontal="left" vertical="center"/>
    </xf>
    <xf numFmtId="0" fontId="0" fillId="3" borderId="8" xfId="0" applyFill="1" applyBorder="1" applyAlignment="1">
      <alignment vertical="center"/>
    </xf>
    <xf numFmtId="1" fontId="21" fillId="3" borderId="0" xfId="0" applyNumberFormat="1" applyFont="1" applyFill="1" applyAlignment="1">
      <alignment horizontal="center" vertical="center"/>
    </xf>
    <xf numFmtId="0" fontId="21" fillId="3" borderId="0" xfId="0" applyFont="1" applyFill="1" applyAlignment="1">
      <alignment horizontal="center" vertical="center"/>
    </xf>
    <xf numFmtId="0" fontId="26" fillId="4" borderId="0" xfId="0" applyFont="1" applyFill="1" applyAlignment="1">
      <alignment horizontal="center" vertical="center"/>
    </xf>
    <xf numFmtId="164" fontId="2" fillId="4" borderId="0" xfId="0" applyNumberFormat="1" applyFont="1" applyFill="1" applyAlignment="1">
      <alignment horizontal="center" vertical="center"/>
    </xf>
    <xf numFmtId="164" fontId="23" fillId="4" borderId="0" xfId="0" applyNumberFormat="1" applyFont="1" applyFill="1" applyAlignment="1">
      <alignment horizontal="center" vertical="center"/>
    </xf>
    <xf numFmtId="0" fontId="0" fillId="4" borderId="17" xfId="0" applyFill="1" applyBorder="1" applyAlignment="1">
      <alignment vertical="center"/>
    </xf>
    <xf numFmtId="164" fontId="0" fillId="4" borderId="17" xfId="0" applyNumberFormat="1" applyFill="1" applyBorder="1" applyAlignment="1">
      <alignment horizontal="center" vertical="center"/>
    </xf>
    <xf numFmtId="0" fontId="11" fillId="4" borderId="0" xfId="0" applyFont="1" applyFill="1" applyAlignment="1">
      <alignment vertical="center"/>
    </xf>
    <xf numFmtId="0" fontId="0" fillId="4" borderId="17" xfId="0" applyFill="1" applyBorder="1" applyAlignment="1">
      <alignment horizontal="center" vertical="center"/>
    </xf>
    <xf numFmtId="0" fontId="4" fillId="4" borderId="0" xfId="0" applyFont="1" applyFill="1" applyAlignment="1">
      <alignment horizontal="center" vertical="center"/>
    </xf>
    <xf numFmtId="164" fontId="0" fillId="4" borderId="0" xfId="0" applyNumberFormat="1"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11" xfId="0" applyFill="1" applyBorder="1" applyAlignment="1">
      <alignment horizontal="center" vertical="center"/>
    </xf>
    <xf numFmtId="0" fontId="0" fillId="4" borderId="11" xfId="0" applyFill="1" applyBorder="1" applyAlignment="1">
      <alignment vertical="center"/>
    </xf>
    <xf numFmtId="1" fontId="23" fillId="4" borderId="11" xfId="0" applyNumberFormat="1" applyFont="1" applyFill="1" applyBorder="1" applyAlignment="1">
      <alignment horizontal="center" vertical="center"/>
    </xf>
    <xf numFmtId="0" fontId="0" fillId="4" borderId="14" xfId="0" applyFill="1" applyBorder="1" applyAlignment="1" applyProtection="1">
      <alignment horizontal="center" vertical="center"/>
      <protection locked="0"/>
    </xf>
    <xf numFmtId="0" fontId="17" fillId="3" borderId="0" xfId="0" applyFont="1" applyFill="1" applyAlignment="1">
      <alignment horizontal="center" vertical="center"/>
    </xf>
    <xf numFmtId="0" fontId="0" fillId="11" borderId="0" xfId="0" quotePrefix="1" applyFill="1" applyAlignment="1">
      <alignment horizontal="center" vertical="center"/>
    </xf>
    <xf numFmtId="164" fontId="17" fillId="3" borderId="0" xfId="1" applyNumberFormat="1" applyFont="1" applyFill="1" applyBorder="1" applyAlignment="1" applyProtection="1">
      <alignment horizontal="center" vertical="center"/>
    </xf>
    <xf numFmtId="0" fontId="2" fillId="3" borderId="0" xfId="0" applyFont="1" applyFill="1" applyAlignment="1">
      <alignment horizontal="center"/>
    </xf>
    <xf numFmtId="164" fontId="3" fillId="4" borderId="0" xfId="0" applyNumberFormat="1" applyFont="1" applyFill="1" applyAlignment="1">
      <alignment horizontal="center" vertical="center"/>
    </xf>
    <xf numFmtId="0" fontId="3" fillId="4" borderId="0" xfId="1" applyNumberFormat="1" applyFont="1" applyFill="1" applyBorder="1" applyAlignment="1" applyProtection="1">
      <alignment horizontal="center" vertical="center"/>
    </xf>
    <xf numFmtId="164" fontId="3" fillId="4" borderId="0" xfId="1" applyNumberFormat="1" applyFont="1" applyFill="1" applyBorder="1" applyAlignment="1" applyProtection="1">
      <alignment horizontal="center" vertical="center"/>
    </xf>
    <xf numFmtId="1" fontId="3" fillId="4" borderId="0" xfId="0" applyNumberFormat="1" applyFont="1" applyFill="1" applyAlignment="1">
      <alignment horizontal="center" vertical="center"/>
    </xf>
    <xf numFmtId="0" fontId="2" fillId="7" borderId="0" xfId="0" applyFont="1" applyFill="1" applyAlignment="1">
      <alignment horizontal="right" vertical="center"/>
    </xf>
    <xf numFmtId="0" fontId="8"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2" fillId="4" borderId="13" xfId="0" applyFont="1" applyFill="1" applyBorder="1"/>
    <xf numFmtId="0" fontId="0" fillId="3" borderId="15" xfId="0" applyFill="1" applyBorder="1" applyAlignment="1">
      <alignment horizontal="center"/>
    </xf>
    <xf numFmtId="0" fontId="2" fillId="4" borderId="13" xfId="0" applyFont="1" applyFill="1" applyBorder="1" applyAlignment="1">
      <alignment vertical="center"/>
    </xf>
    <xf numFmtId="0" fontId="0" fillId="7" borderId="13" xfId="0" applyFill="1" applyBorder="1"/>
    <xf numFmtId="0" fontId="3" fillId="7" borderId="13" xfId="0" applyFont="1" applyFill="1" applyBorder="1" applyAlignment="1">
      <alignment horizontal="center"/>
    </xf>
    <xf numFmtId="0" fontId="0" fillId="7" borderId="13" xfId="0" applyFill="1" applyBorder="1" applyAlignment="1">
      <alignment horizontal="center"/>
    </xf>
    <xf numFmtId="0" fontId="0" fillId="7" borderId="15" xfId="0" applyFill="1" applyBorder="1" applyAlignment="1">
      <alignment horizontal="center"/>
    </xf>
    <xf numFmtId="9" fontId="0" fillId="4" borderId="0" xfId="1" applyFont="1" applyFill="1" applyBorder="1" applyAlignment="1" applyProtection="1">
      <alignment horizontal="center" vertical="center"/>
    </xf>
    <xf numFmtId="0" fontId="3" fillId="4" borderId="0" xfId="0" applyFont="1" applyFill="1" applyAlignment="1">
      <alignment horizontal="center" vertical="center"/>
    </xf>
    <xf numFmtId="0" fontId="0" fillId="7" borderId="11" xfId="0" applyFill="1" applyBorder="1" applyAlignment="1">
      <alignment vertical="center"/>
    </xf>
    <xf numFmtId="0" fontId="0" fillId="7" borderId="12" xfId="0" applyFill="1" applyBorder="1" applyAlignment="1">
      <alignment vertical="center"/>
    </xf>
    <xf numFmtId="0" fontId="13" fillId="7" borderId="0" xfId="0" applyFont="1" applyFill="1" applyAlignment="1">
      <alignment horizontal="left" vertical="center"/>
    </xf>
    <xf numFmtId="0" fontId="0" fillId="7" borderId="0" xfId="0" applyFill="1" applyAlignment="1">
      <alignment vertical="center"/>
    </xf>
    <xf numFmtId="0" fontId="0" fillId="7" borderId="14" xfId="0" applyFill="1" applyBorder="1" applyAlignment="1">
      <alignment vertical="center"/>
    </xf>
    <xf numFmtId="0" fontId="3" fillId="7" borderId="0" xfId="0" applyFont="1" applyFill="1" applyAlignment="1">
      <alignment vertical="center"/>
    </xf>
    <xf numFmtId="0" fontId="3" fillId="7" borderId="0" xfId="0" applyFont="1" applyFill="1" applyAlignment="1">
      <alignment horizontal="center" vertical="center"/>
    </xf>
    <xf numFmtId="0" fontId="0" fillId="7" borderId="0" xfId="0" applyFill="1" applyAlignment="1">
      <alignment horizontal="center" vertical="center"/>
    </xf>
    <xf numFmtId="0" fontId="0" fillId="7" borderId="17" xfId="0" applyFill="1" applyBorder="1" applyAlignment="1">
      <alignment horizontal="center" vertical="center"/>
    </xf>
    <xf numFmtId="0" fontId="0" fillId="7" borderId="17" xfId="0" applyFill="1" applyBorder="1" applyAlignment="1">
      <alignment vertical="center"/>
    </xf>
    <xf numFmtId="0" fontId="3" fillId="7" borderId="17" xfId="0" applyFont="1" applyFill="1" applyBorder="1" applyAlignment="1">
      <alignment vertical="center"/>
    </xf>
    <xf numFmtId="0" fontId="3" fillId="7" borderId="17" xfId="0" applyFont="1" applyFill="1" applyBorder="1" applyAlignment="1">
      <alignment horizontal="center" vertical="center"/>
    </xf>
    <xf numFmtId="0" fontId="0" fillId="7" borderId="18" xfId="0" applyFill="1" applyBorder="1" applyAlignment="1">
      <alignment vertical="center"/>
    </xf>
    <xf numFmtId="0" fontId="0" fillId="0" borderId="14" xfId="0" applyBorder="1" applyAlignment="1">
      <alignment vertical="center"/>
    </xf>
    <xf numFmtId="0" fontId="3" fillId="0" borderId="0" xfId="0" applyFont="1" applyAlignment="1">
      <alignment vertical="center"/>
    </xf>
    <xf numFmtId="0" fontId="0" fillId="0" borderId="17"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58" fillId="0" borderId="0" xfId="0" applyFont="1"/>
    <xf numFmtId="0" fontId="59" fillId="0" borderId="0" xfId="0" applyFont="1"/>
    <xf numFmtId="0" fontId="0" fillId="3" borderId="5" xfId="0" applyFill="1" applyBorder="1"/>
    <xf numFmtId="0" fontId="0" fillId="3" borderId="7" xfId="0" applyFill="1" applyBorder="1"/>
    <xf numFmtId="0" fontId="0" fillId="3" borderId="9" xfId="0" applyFill="1" applyBorder="1"/>
    <xf numFmtId="0" fontId="0" fillId="3" borderId="1" xfId="0" applyFill="1" applyBorder="1"/>
    <xf numFmtId="0" fontId="46" fillId="3" borderId="0" xfId="0" applyFont="1" applyFill="1" applyAlignment="1">
      <alignment vertical="center"/>
    </xf>
    <xf numFmtId="0" fontId="0" fillId="3" borderId="2" xfId="0" applyFill="1" applyBorder="1"/>
    <xf numFmtId="0" fontId="0" fillId="3" borderId="4" xfId="0" applyFill="1" applyBorder="1"/>
    <xf numFmtId="0" fontId="0" fillId="3" borderId="3" xfId="0" applyFill="1" applyBorder="1"/>
    <xf numFmtId="0" fontId="0" fillId="3" borderId="8" xfId="0" applyFill="1" applyBorder="1"/>
    <xf numFmtId="0" fontId="0" fillId="4" borderId="9" xfId="0" applyFill="1" applyBorder="1" applyAlignment="1">
      <alignment horizontal="center"/>
    </xf>
    <xf numFmtId="164" fontId="44" fillId="4" borderId="2" xfId="0" quotePrefix="1" applyNumberFormat="1" applyFont="1" applyFill="1" applyBorder="1" applyAlignment="1">
      <alignment horizontal="center"/>
    </xf>
    <xf numFmtId="164" fontId="39" fillId="4" borderId="0" xfId="0" quotePrefix="1" applyNumberFormat="1" applyFont="1" applyFill="1" applyAlignment="1">
      <alignment horizontal="center"/>
    </xf>
    <xf numFmtId="1" fontId="44" fillId="4" borderId="2" xfId="0" quotePrefix="1" applyNumberFormat="1" applyFont="1" applyFill="1" applyBorder="1" applyAlignment="1">
      <alignment horizontal="center"/>
    </xf>
    <xf numFmtId="1" fontId="39" fillId="4" borderId="0" xfId="0" quotePrefix="1" applyNumberFormat="1" applyFont="1" applyFill="1" applyAlignment="1">
      <alignment horizontal="center"/>
    </xf>
    <xf numFmtId="0" fontId="0" fillId="12" borderId="0" xfId="0" applyFill="1"/>
    <xf numFmtId="0" fontId="60" fillId="3" borderId="0" xfId="0" applyFont="1" applyFill="1"/>
    <xf numFmtId="9" fontId="27" fillId="3" borderId="0" xfId="0" applyNumberFormat="1" applyFont="1" applyFill="1"/>
    <xf numFmtId="0" fontId="0" fillId="13" borderId="0" xfId="0" applyFill="1"/>
    <xf numFmtId="0" fontId="0" fillId="3" borderId="0" xfId="0" quotePrefix="1" applyFill="1"/>
    <xf numFmtId="0" fontId="26" fillId="15" borderId="0" xfId="0" applyFont="1" applyFill="1" applyAlignment="1">
      <alignment vertical="center"/>
    </xf>
    <xf numFmtId="0" fontId="0" fillId="16" borderId="0" xfId="0" applyFill="1" applyAlignment="1">
      <alignment horizontal="center"/>
    </xf>
    <xf numFmtId="0" fontId="3" fillId="16" borderId="0" xfId="0" applyFont="1" applyFill="1" applyAlignment="1">
      <alignment horizontal="center"/>
    </xf>
    <xf numFmtId="0" fontId="3" fillId="16" borderId="0" xfId="0" applyFont="1" applyFill="1"/>
    <xf numFmtId="0" fontId="0" fillId="14" borderId="0" xfId="0" applyFill="1"/>
    <xf numFmtId="0" fontId="26" fillId="3" borderId="0" xfId="0" applyFont="1" applyFill="1" applyAlignment="1">
      <alignment vertical="center"/>
    </xf>
    <xf numFmtId="0" fontId="0" fillId="17" borderId="0" xfId="0" applyFill="1"/>
    <xf numFmtId="0" fontId="0" fillId="18" borderId="0" xfId="0" applyFill="1"/>
    <xf numFmtId="0" fontId="0" fillId="18" borderId="0" xfId="0" applyFill="1" applyAlignment="1">
      <alignment horizontal="center"/>
    </xf>
    <xf numFmtId="0" fontId="0" fillId="19" borderId="0" xfId="0" applyFill="1"/>
    <xf numFmtId="0" fontId="0" fillId="19" borderId="0" xfId="0" quotePrefix="1" applyFill="1"/>
    <xf numFmtId="0" fontId="0" fillId="20" borderId="0" xfId="0" applyFill="1"/>
    <xf numFmtId="0" fontId="0" fillId="20" borderId="0" xfId="0" quotePrefix="1" applyFill="1"/>
    <xf numFmtId="0" fontId="6" fillId="20" borderId="0" xfId="0" applyFont="1" applyFill="1" applyAlignment="1">
      <alignment vertical="center"/>
    </xf>
    <xf numFmtId="0" fontId="6" fillId="20" borderId="0" xfId="0" applyFont="1" applyFill="1" applyAlignment="1">
      <alignment horizontal="center" vertical="center"/>
    </xf>
    <xf numFmtId="0" fontId="7" fillId="20" borderId="0" xfId="0" applyFont="1" applyFill="1" applyAlignment="1">
      <alignment horizontal="left" vertical="center"/>
    </xf>
    <xf numFmtId="0" fontId="6" fillId="20" borderId="0" xfId="0" applyFont="1" applyFill="1"/>
    <xf numFmtId="0" fontId="0" fillId="18" borderId="0" xfId="0" quotePrefix="1" applyFill="1"/>
    <xf numFmtId="1" fontId="3" fillId="18" borderId="0" xfId="0" applyNumberFormat="1" applyFont="1" applyFill="1" applyAlignment="1">
      <alignment horizontal="center"/>
    </xf>
    <xf numFmtId="0" fontId="3" fillId="18" borderId="0" xfId="0" applyFont="1" applyFill="1"/>
    <xf numFmtId="0" fontId="3" fillId="18" borderId="0" xfId="0" applyFont="1" applyFill="1" applyAlignment="1">
      <alignment vertical="center"/>
    </xf>
    <xf numFmtId="0" fontId="4" fillId="18" borderId="0" xfId="0" applyFont="1" applyFill="1" applyAlignment="1">
      <alignment horizontal="center"/>
    </xf>
    <xf numFmtId="164" fontId="9" fillId="3" borderId="6" xfId="0" applyNumberFormat="1" applyFont="1" applyFill="1" applyBorder="1" applyAlignment="1">
      <alignment horizontal="center" vertical="center"/>
    </xf>
    <xf numFmtId="0" fontId="62" fillId="20" borderId="23" xfId="0" applyFont="1" applyFill="1" applyBorder="1" applyAlignment="1">
      <alignment horizontal="left" vertical="center"/>
    </xf>
    <xf numFmtId="0" fontId="7" fillId="20" borderId="24" xfId="0" applyFont="1" applyFill="1" applyBorder="1" applyAlignment="1">
      <alignment horizontal="center" vertical="center"/>
    </xf>
    <xf numFmtId="164" fontId="0" fillId="21" borderId="24" xfId="0" applyNumberFormat="1" applyFill="1" applyBorder="1" applyAlignment="1">
      <alignment horizontal="center" vertical="center"/>
    </xf>
    <xf numFmtId="164" fontId="0" fillId="3" borderId="28" xfId="0" applyNumberFormat="1" applyFill="1" applyBorder="1" applyAlignment="1">
      <alignment horizontal="center" vertical="center"/>
    </xf>
    <xf numFmtId="0" fontId="0" fillId="18" borderId="0" xfId="0" applyFill="1" applyAlignment="1">
      <alignment horizontal="center" vertical="center"/>
    </xf>
    <xf numFmtId="164" fontId="35" fillId="18" borderId="0" xfId="0" quotePrefix="1" applyNumberFormat="1" applyFont="1" applyFill="1" applyAlignment="1">
      <alignment horizontal="center"/>
    </xf>
    <xf numFmtId="0" fontId="26" fillId="18" borderId="0" xfId="0" applyFont="1" applyFill="1" applyAlignment="1">
      <alignment horizontal="center" vertical="center"/>
    </xf>
    <xf numFmtId="0" fontId="12" fillId="18" borderId="0" xfId="0" applyFont="1" applyFill="1" applyAlignment="1">
      <alignment horizontal="center"/>
    </xf>
    <xf numFmtId="164" fontId="16" fillId="18" borderId="0" xfId="0" quotePrefix="1" applyNumberFormat="1" applyFont="1" applyFill="1" applyAlignment="1">
      <alignment horizontal="center"/>
    </xf>
    <xf numFmtId="164" fontId="23" fillId="18" borderId="0" xfId="0" applyNumberFormat="1" applyFont="1" applyFill="1" applyAlignment="1">
      <alignment horizontal="center"/>
    </xf>
    <xf numFmtId="0" fontId="0" fillId="22" borderId="0" xfId="0" applyFill="1"/>
    <xf numFmtId="0" fontId="0" fillId="22" borderId="0" xfId="0" quotePrefix="1" applyFill="1"/>
    <xf numFmtId="0" fontId="0" fillId="20" borderId="33" xfId="0" applyFill="1" applyBorder="1"/>
    <xf numFmtId="0" fontId="0" fillId="20" borderId="34" xfId="0" applyFill="1" applyBorder="1"/>
    <xf numFmtId="164" fontId="41" fillId="21" borderId="24" xfId="0" applyNumberFormat="1" applyFont="1" applyFill="1" applyBorder="1" applyAlignment="1">
      <alignment horizontal="center" vertical="center"/>
    </xf>
    <xf numFmtId="164" fontId="3" fillId="21" borderId="24" xfId="0" applyNumberFormat="1" applyFont="1" applyFill="1" applyBorder="1" applyAlignment="1">
      <alignment horizontal="center" vertical="center"/>
    </xf>
    <xf numFmtId="44" fontId="0" fillId="21" borderId="25" xfId="2" applyFont="1" applyFill="1" applyBorder="1" applyAlignment="1" applyProtection="1">
      <alignment horizontal="center" vertical="center"/>
    </xf>
    <xf numFmtId="168" fontId="0" fillId="3" borderId="20" xfId="2" applyNumberFormat="1" applyFont="1" applyFill="1" applyBorder="1" applyAlignment="1" applyProtection="1">
      <alignment horizontal="center" vertical="center"/>
      <protection locked="0"/>
    </xf>
    <xf numFmtId="1" fontId="3" fillId="3" borderId="0" xfId="0" applyNumberFormat="1" applyFont="1" applyFill="1" applyAlignment="1">
      <alignment horizontal="center" vertical="center"/>
    </xf>
    <xf numFmtId="0" fontId="0" fillId="3" borderId="26" xfId="0" applyFill="1" applyBorder="1" applyAlignment="1">
      <alignment vertical="center"/>
    </xf>
    <xf numFmtId="164" fontId="0" fillId="3" borderId="20" xfId="2" applyNumberFormat="1" applyFont="1" applyFill="1" applyBorder="1" applyAlignment="1" applyProtection="1">
      <alignment horizontal="center" vertical="center"/>
      <protection locked="0"/>
    </xf>
    <xf numFmtId="0" fontId="0" fillId="23" borderId="0" xfId="0" applyFill="1"/>
    <xf numFmtId="0" fontId="0" fillId="20" borderId="24" xfId="0" applyFill="1" applyBorder="1" applyAlignment="1">
      <alignment vertical="center"/>
    </xf>
    <xf numFmtId="9" fontId="0" fillId="21" borderId="23" xfId="1" applyFont="1" applyFill="1" applyBorder="1" applyAlignment="1" applyProtection="1">
      <alignment horizontal="center" vertical="center"/>
    </xf>
    <xf numFmtId="1" fontId="3" fillId="21" borderId="25" xfId="0" applyNumberFormat="1" applyFont="1" applyFill="1" applyBorder="1" applyAlignment="1">
      <alignment horizontal="center" vertical="center"/>
    </xf>
    <xf numFmtId="164" fontId="3" fillId="21" borderId="23" xfId="0" applyNumberFormat="1" applyFont="1" applyFill="1" applyBorder="1" applyAlignment="1">
      <alignment horizontal="center" vertical="center"/>
    </xf>
    <xf numFmtId="164" fontId="3" fillId="21" borderId="25" xfId="0" applyNumberFormat="1" applyFont="1" applyFill="1" applyBorder="1" applyAlignment="1">
      <alignment horizontal="center" vertical="center"/>
    </xf>
    <xf numFmtId="9" fontId="0" fillId="3" borderId="27" xfId="1" applyFont="1" applyFill="1" applyBorder="1" applyAlignment="1" applyProtection="1">
      <alignment horizontal="center" vertical="center"/>
    </xf>
    <xf numFmtId="164" fontId="3" fillId="3" borderId="28" xfId="0" applyNumberFormat="1" applyFont="1" applyFill="1" applyBorder="1" applyAlignment="1">
      <alignment horizontal="center" vertical="center"/>
    </xf>
    <xf numFmtId="1" fontId="3" fillId="3" borderId="29" xfId="0" applyNumberFormat="1" applyFont="1" applyFill="1" applyBorder="1" applyAlignment="1">
      <alignment horizontal="center" vertical="center"/>
    </xf>
    <xf numFmtId="9" fontId="3" fillId="3" borderId="27" xfId="1" applyFont="1" applyFill="1" applyBorder="1" applyAlignment="1" applyProtection="1">
      <alignment horizontal="center" vertical="center"/>
    </xf>
    <xf numFmtId="164" fontId="3" fillId="3" borderId="27" xfId="0" applyNumberFormat="1" applyFont="1" applyFill="1" applyBorder="1" applyAlignment="1">
      <alignment horizontal="center" vertical="center"/>
    </xf>
    <xf numFmtId="164" fontId="3" fillId="3" borderId="29" xfId="0" applyNumberFormat="1" applyFont="1" applyFill="1" applyBorder="1" applyAlignment="1">
      <alignment horizontal="center" vertical="center"/>
    </xf>
    <xf numFmtId="0" fontId="0" fillId="4" borderId="24" xfId="0" applyFill="1" applyBorder="1" applyAlignment="1">
      <alignment horizontal="center" vertical="center"/>
    </xf>
    <xf numFmtId="0" fontId="0" fillId="4" borderId="24" xfId="0" applyFill="1" applyBorder="1" applyAlignment="1">
      <alignment vertical="center"/>
    </xf>
    <xf numFmtId="0" fontId="0" fillId="4" borderId="26" xfId="0" applyFill="1" applyBorder="1"/>
    <xf numFmtId="0" fontId="30" fillId="23" borderId="24" xfId="0" applyFont="1" applyFill="1" applyBorder="1" applyAlignment="1">
      <alignment horizontal="left" vertical="center"/>
    </xf>
    <xf numFmtId="0" fontId="0" fillId="23" borderId="24" xfId="0" applyFill="1" applyBorder="1" applyAlignment="1">
      <alignment vertical="center"/>
    </xf>
    <xf numFmtId="0" fontId="9" fillId="23" borderId="24" xfId="0" applyFont="1" applyFill="1" applyBorder="1" applyAlignment="1">
      <alignment horizontal="left" vertical="center" wrapText="1"/>
    </xf>
    <xf numFmtId="164" fontId="2" fillId="23" borderId="24" xfId="0" applyNumberFormat="1" applyFont="1" applyFill="1" applyBorder="1" applyAlignment="1">
      <alignment horizontal="center" vertical="center" wrapText="1"/>
    </xf>
    <xf numFmtId="0" fontId="0" fillId="23" borderId="24" xfId="0" applyFill="1" applyBorder="1" applyAlignment="1">
      <alignment horizontal="center" vertical="center" wrapText="1"/>
    </xf>
    <xf numFmtId="0" fontId="15" fillId="23" borderId="24" xfId="0" applyFont="1" applyFill="1" applyBorder="1" applyAlignment="1">
      <alignment vertical="center"/>
    </xf>
    <xf numFmtId="0" fontId="15" fillId="23" borderId="24" xfId="0" applyFont="1" applyFill="1" applyBorder="1" applyAlignment="1">
      <alignment horizontal="center" vertical="center"/>
    </xf>
    <xf numFmtId="0" fontId="15" fillId="23" borderId="25" xfId="0" applyFont="1" applyFill="1" applyBorder="1" applyAlignment="1">
      <alignment horizontal="center" vertical="center"/>
    </xf>
    <xf numFmtId="0" fontId="13" fillId="23" borderId="0" xfId="0" applyFont="1" applyFill="1" applyAlignment="1">
      <alignment horizontal="left" vertical="center"/>
    </xf>
    <xf numFmtId="0" fontId="0" fillId="23" borderId="0" xfId="0" applyFill="1" applyAlignment="1">
      <alignment vertical="center"/>
    </xf>
    <xf numFmtId="0" fontId="8" fillId="23" borderId="0" xfId="0" applyFont="1" applyFill="1" applyAlignment="1">
      <alignment horizontal="left" vertical="center"/>
    </xf>
    <xf numFmtId="0" fontId="8" fillId="23" borderId="19" xfId="0" applyFont="1" applyFill="1" applyBorder="1" applyAlignment="1">
      <alignment horizontal="left" vertical="center"/>
    </xf>
    <xf numFmtId="0" fontId="57" fillId="23" borderId="0" xfId="0" applyFont="1" applyFill="1" applyAlignment="1">
      <alignment horizontal="left" vertical="center"/>
    </xf>
    <xf numFmtId="0" fontId="13" fillId="23" borderId="28" xfId="0" applyFont="1" applyFill="1" applyBorder="1" applyAlignment="1">
      <alignment horizontal="left" vertical="center"/>
    </xf>
    <xf numFmtId="0" fontId="0" fillId="23" borderId="28" xfId="0" applyFill="1" applyBorder="1" applyAlignment="1">
      <alignment vertical="center"/>
    </xf>
    <xf numFmtId="0" fontId="0" fillId="23" borderId="23" xfId="0" applyFill="1" applyBorder="1" applyAlignment="1">
      <alignment horizontal="center"/>
    </xf>
    <xf numFmtId="0" fontId="0" fillId="23" borderId="26" xfId="0" applyFill="1" applyBorder="1"/>
    <xf numFmtId="0" fontId="0" fillId="23" borderId="27" xfId="0" applyFill="1" applyBorder="1"/>
    <xf numFmtId="0" fontId="49" fillId="3" borderId="0" xfId="0" applyFont="1" applyFill="1" applyAlignment="1">
      <alignment horizontal="right"/>
    </xf>
    <xf numFmtId="0" fontId="62" fillId="20" borderId="0" xfId="0" applyFont="1" applyFill="1" applyAlignment="1">
      <alignment horizontal="left" vertical="center"/>
    </xf>
    <xf numFmtId="0" fontId="61" fillId="20" borderId="0" xfId="0" applyFont="1" applyFill="1"/>
    <xf numFmtId="0" fontId="6" fillId="20" borderId="0" xfId="0" applyFont="1" applyFill="1" applyAlignment="1">
      <alignment horizontal="center"/>
    </xf>
    <xf numFmtId="0" fontId="61" fillId="20" borderId="0" xfId="0" applyFont="1" applyFill="1" applyAlignment="1">
      <alignment horizontal="center"/>
    </xf>
    <xf numFmtId="0" fontId="29" fillId="20" borderId="0" xfId="0" applyFont="1" applyFill="1" applyAlignment="1">
      <alignment horizontal="left" vertical="center"/>
    </xf>
    <xf numFmtId="0" fontId="43" fillId="20" borderId="0" xfId="0" applyFont="1" applyFill="1" applyAlignment="1">
      <alignment horizontal="center" vertical="center"/>
    </xf>
    <xf numFmtId="0" fontId="37" fillId="20" borderId="0" xfId="0" applyFont="1" applyFill="1" applyAlignment="1">
      <alignment vertical="center"/>
    </xf>
    <xf numFmtId="0" fontId="9" fillId="20" borderId="0" xfId="0" applyFont="1" applyFill="1" applyAlignment="1">
      <alignment horizontal="center" vertical="center"/>
    </xf>
    <xf numFmtId="164" fontId="9" fillId="20" borderId="0" xfId="0" applyNumberFormat="1" applyFont="1" applyFill="1" applyAlignment="1">
      <alignment horizontal="center" vertical="center"/>
    </xf>
    <xf numFmtId="0" fontId="7" fillId="20" borderId="0" xfId="0" applyFont="1" applyFill="1" applyAlignment="1">
      <alignment horizontal="center" vertical="center"/>
    </xf>
    <xf numFmtId="0" fontId="4" fillId="18" borderId="0" xfId="0" applyFont="1" applyFill="1" applyAlignment="1">
      <alignment vertical="center"/>
    </xf>
    <xf numFmtId="0" fontId="2" fillId="18" borderId="0" xfId="0" applyFont="1" applyFill="1" applyAlignment="1">
      <alignment horizontal="center"/>
    </xf>
    <xf numFmtId="0" fontId="0" fillId="20" borderId="0" xfId="0" applyFill="1" applyAlignment="1">
      <alignment horizontal="center" vertical="center"/>
    </xf>
    <xf numFmtId="0" fontId="0" fillId="19" borderId="0" xfId="0" applyFill="1" applyAlignment="1">
      <alignment horizontal="center"/>
    </xf>
    <xf numFmtId="0" fontId="42" fillId="20" borderId="0" xfId="0" applyFont="1" applyFill="1" applyAlignment="1">
      <alignment vertical="center"/>
    </xf>
    <xf numFmtId="1" fontId="41" fillId="20" borderId="0" xfId="0" quotePrefix="1" applyNumberFormat="1" applyFont="1" applyFill="1" applyAlignment="1">
      <alignment horizontal="center" vertical="center"/>
    </xf>
    <xf numFmtId="0" fontId="61" fillId="20" borderId="0" xfId="0" applyFont="1" applyFill="1" applyAlignment="1">
      <alignment vertical="center"/>
    </xf>
    <xf numFmtId="0" fontId="61" fillId="20" borderId="0" xfId="0" applyFont="1" applyFill="1" applyAlignment="1">
      <alignment horizontal="center" vertical="center"/>
    </xf>
    <xf numFmtId="0" fontId="42" fillId="20" borderId="0" xfId="0" applyFont="1" applyFill="1" applyAlignment="1">
      <alignment horizontal="center" vertical="center"/>
    </xf>
    <xf numFmtId="0" fontId="69" fillId="20" borderId="0" xfId="0" applyFont="1" applyFill="1" applyAlignment="1">
      <alignment horizontal="center" vertical="center"/>
    </xf>
    <xf numFmtId="164" fontId="37" fillId="20" borderId="0" xfId="0" applyNumberFormat="1" applyFont="1" applyFill="1" applyAlignment="1">
      <alignment horizontal="center" vertical="center"/>
    </xf>
    <xf numFmtId="0" fontId="0" fillId="20" borderId="0" xfId="0" applyFill="1" applyAlignment="1">
      <alignment vertical="center"/>
    </xf>
    <xf numFmtId="0" fontId="42" fillId="20" borderId="0" xfId="0" applyFont="1" applyFill="1" applyAlignment="1">
      <alignment horizontal="center"/>
    </xf>
    <xf numFmtId="0" fontId="69" fillId="20" borderId="0" xfId="0" applyFont="1" applyFill="1" applyAlignment="1">
      <alignment vertical="center"/>
    </xf>
    <xf numFmtId="1" fontId="9" fillId="20" borderId="0" xfId="0" applyNumberFormat="1" applyFont="1" applyFill="1" applyAlignment="1">
      <alignment horizontal="center" vertical="center"/>
    </xf>
    <xf numFmtId="1" fontId="9" fillId="20" borderId="6" xfId="1" applyNumberFormat="1" applyFont="1" applyFill="1" applyBorder="1" applyAlignment="1" applyProtection="1">
      <alignment horizontal="center" vertical="center" wrapText="1"/>
    </xf>
    <xf numFmtId="1" fontId="9" fillId="20" borderId="6" xfId="0" applyNumberFormat="1" applyFont="1" applyFill="1" applyBorder="1" applyAlignment="1">
      <alignment horizontal="center" vertical="center" wrapText="1"/>
    </xf>
    <xf numFmtId="0" fontId="37" fillId="20" borderId="0" xfId="0" applyFont="1" applyFill="1" applyAlignment="1">
      <alignment horizontal="right" vertical="center"/>
    </xf>
    <xf numFmtId="167" fontId="38" fillId="20" borderId="0" xfId="0" applyNumberFormat="1" applyFont="1" applyFill="1" applyAlignment="1">
      <alignment horizontal="center" vertical="center"/>
    </xf>
    <xf numFmtId="169" fontId="47" fillId="20" borderId="0" xfId="0" applyNumberFormat="1" applyFont="1" applyFill="1" applyAlignment="1">
      <alignment horizontal="center" vertical="center"/>
    </xf>
    <xf numFmtId="0" fontId="26" fillId="20" borderId="0" xfId="0" applyFont="1" applyFill="1" applyAlignment="1">
      <alignment vertical="center"/>
    </xf>
    <xf numFmtId="167" fontId="48" fillId="20" borderId="0" xfId="0" applyNumberFormat="1" applyFont="1" applyFill="1" applyAlignment="1">
      <alignment horizontal="center" vertical="center"/>
    </xf>
    <xf numFmtId="169" fontId="50" fillId="20" borderId="0" xfId="0" applyNumberFormat="1" applyFont="1" applyFill="1" applyAlignment="1">
      <alignment horizontal="center" vertical="center"/>
    </xf>
    <xf numFmtId="0" fontId="0" fillId="18" borderId="31" xfId="0" applyFill="1" applyBorder="1"/>
    <xf numFmtId="0" fontId="0" fillId="18" borderId="28" xfId="0" applyFill="1" applyBorder="1"/>
    <xf numFmtId="0" fontId="62" fillId="20" borderId="24" xfId="0" applyFont="1" applyFill="1" applyBorder="1" applyAlignment="1">
      <alignment horizontal="left" vertical="center"/>
    </xf>
    <xf numFmtId="0" fontId="4" fillId="3" borderId="27" xfId="0" applyFont="1" applyFill="1" applyBorder="1" applyAlignment="1">
      <alignment vertical="center"/>
    </xf>
    <xf numFmtId="1" fontId="4" fillId="3" borderId="28" xfId="0" applyNumberFormat="1" applyFont="1" applyFill="1" applyBorder="1" applyAlignment="1">
      <alignment horizontal="center" vertical="center"/>
    </xf>
    <xf numFmtId="1" fontId="4" fillId="3" borderId="29" xfId="0" applyNumberFormat="1" applyFont="1" applyFill="1" applyBorder="1" applyAlignment="1">
      <alignment horizontal="center" vertical="center"/>
    </xf>
    <xf numFmtId="0" fontId="37" fillId="3" borderId="0" xfId="0" applyFont="1" applyFill="1" applyAlignment="1">
      <alignment horizontal="center" vertical="center"/>
    </xf>
    <xf numFmtId="0" fontId="3" fillId="3" borderId="0" xfId="0" applyFont="1" applyFill="1" applyAlignment="1">
      <alignment vertical="center"/>
    </xf>
    <xf numFmtId="0" fontId="3" fillId="3" borderId="0" xfId="0" applyFont="1" applyFill="1" applyAlignment="1">
      <alignment horizontal="left" vertical="center"/>
    </xf>
    <xf numFmtId="0" fontId="3" fillId="18" borderId="0" xfId="0" applyFont="1" applyFill="1" applyAlignment="1">
      <alignment horizontal="left" vertical="center"/>
    </xf>
    <xf numFmtId="1" fontId="3" fillId="18" borderId="0" xfId="0" applyNumberFormat="1" applyFont="1" applyFill="1" applyAlignment="1">
      <alignment horizontal="center" vertical="center"/>
    </xf>
    <xf numFmtId="0" fontId="64" fillId="3" borderId="26" xfId="0" applyFont="1" applyFill="1" applyBorder="1" applyAlignment="1">
      <alignment horizontal="left" vertical="center"/>
    </xf>
    <xf numFmtId="0" fontId="37" fillId="3" borderId="19" xfId="0" applyFont="1" applyFill="1" applyBorder="1" applyAlignment="1">
      <alignment horizontal="left" vertical="center"/>
    </xf>
    <xf numFmtId="0" fontId="3" fillId="18" borderId="26" xfId="0" applyFont="1" applyFill="1" applyBorder="1" applyAlignment="1">
      <alignment horizontal="left" vertical="center"/>
    </xf>
    <xf numFmtId="1" fontId="3" fillId="18" borderId="19" xfId="0" applyNumberFormat="1" applyFont="1" applyFill="1" applyBorder="1" applyAlignment="1">
      <alignment horizontal="center" vertical="center"/>
    </xf>
    <xf numFmtId="0" fontId="3" fillId="3" borderId="26" xfId="0" applyFont="1" applyFill="1" applyBorder="1" applyAlignment="1">
      <alignment horizontal="left" vertical="center"/>
    </xf>
    <xf numFmtId="1" fontId="3" fillId="3" borderId="19" xfId="0" applyNumberFormat="1" applyFont="1" applyFill="1" applyBorder="1" applyAlignment="1">
      <alignment horizontal="center" vertical="center"/>
    </xf>
    <xf numFmtId="0" fontId="0" fillId="3" borderId="28" xfId="0" applyFill="1" applyBorder="1" applyAlignment="1">
      <alignment vertical="center"/>
    </xf>
    <xf numFmtId="0" fontId="0" fillId="0" borderId="28" xfId="0" applyBorder="1" applyAlignment="1">
      <alignment vertical="center"/>
    </xf>
    <xf numFmtId="0" fontId="66" fillId="18" borderId="0" xfId="0" applyFont="1" applyFill="1" applyAlignment="1">
      <alignment horizontal="center"/>
    </xf>
    <xf numFmtId="0" fontId="0" fillId="18" borderId="0" xfId="0" applyFill="1" applyAlignment="1">
      <alignment vertical="center"/>
    </xf>
    <xf numFmtId="1" fontId="22" fillId="18" borderId="0" xfId="0" applyNumberFormat="1" applyFont="1" applyFill="1" applyAlignment="1">
      <alignment horizontal="center" vertical="center"/>
    </xf>
    <xf numFmtId="1" fontId="23" fillId="18" borderId="0" xfId="0" applyNumberFormat="1" applyFont="1" applyFill="1" applyAlignment="1">
      <alignment horizontal="center"/>
    </xf>
    <xf numFmtId="0" fontId="3" fillId="18" borderId="0" xfId="0" applyFont="1" applyFill="1" applyAlignment="1">
      <alignment horizontal="center"/>
    </xf>
    <xf numFmtId="0" fontId="37" fillId="18" borderId="0" xfId="0" applyFont="1" applyFill="1" applyAlignment="1">
      <alignment horizontal="left"/>
    </xf>
    <xf numFmtId="0" fontId="2" fillId="18" borderId="0" xfId="0" applyFont="1" applyFill="1" applyAlignment="1">
      <alignment horizontal="left"/>
    </xf>
    <xf numFmtId="0" fontId="0" fillId="18" borderId="0" xfId="0" applyFill="1" applyAlignment="1" applyProtection="1">
      <alignment horizontal="left" vertical="center"/>
      <protection locked="0"/>
    </xf>
    <xf numFmtId="164" fontId="3" fillId="18" borderId="0" xfId="0" applyNumberFormat="1" applyFont="1" applyFill="1" applyAlignment="1">
      <alignment horizontal="center" vertical="center"/>
    </xf>
    <xf numFmtId="164" fontId="0" fillId="18" borderId="0" xfId="0" applyNumberFormat="1" applyFill="1" applyAlignment="1">
      <alignment horizontal="right" vertical="center"/>
    </xf>
    <xf numFmtId="1" fontId="36" fillId="18" borderId="0" xfId="0" applyNumberFormat="1" applyFont="1" applyFill="1" applyAlignment="1">
      <alignment horizontal="center" vertical="center"/>
    </xf>
    <xf numFmtId="0" fontId="26" fillId="18" borderId="0" xfId="0" applyFont="1" applyFill="1" applyAlignment="1">
      <alignment vertical="center"/>
    </xf>
    <xf numFmtId="0" fontId="24" fillId="18" borderId="0" xfId="0" applyFont="1" applyFill="1" applyAlignment="1">
      <alignment horizontal="center" vertical="center"/>
    </xf>
    <xf numFmtId="0" fontId="2" fillId="18" borderId="19" xfId="0" applyFont="1" applyFill="1" applyBorder="1" applyAlignment="1">
      <alignment horizontal="center" vertical="center"/>
    </xf>
    <xf numFmtId="0" fontId="17" fillId="18" borderId="0" xfId="0" applyFont="1" applyFill="1" applyAlignment="1">
      <alignment vertical="center"/>
    </xf>
    <xf numFmtId="0" fontId="4" fillId="18" borderId="0" xfId="0" applyFont="1" applyFill="1" applyAlignment="1">
      <alignment horizontal="center" vertical="center"/>
    </xf>
    <xf numFmtId="0" fontId="53" fillId="18" borderId="0" xfId="0" applyFont="1" applyFill="1" applyAlignment="1">
      <alignment horizontal="center" vertical="center"/>
    </xf>
    <xf numFmtId="0" fontId="2" fillId="18" borderId="0" xfId="0" applyFont="1" applyFill="1" applyAlignment="1">
      <alignment horizontal="center" vertical="center"/>
    </xf>
    <xf numFmtId="2" fontId="2" fillId="18" borderId="0" xfId="1" applyNumberFormat="1" applyFont="1" applyFill="1" applyBorder="1" applyAlignment="1" applyProtection="1">
      <alignment horizontal="center" vertical="center"/>
    </xf>
    <xf numFmtId="164" fontId="18" fillId="18" borderId="0" xfId="0" applyNumberFormat="1" applyFont="1" applyFill="1" applyAlignment="1">
      <alignment horizontal="center" vertical="center"/>
    </xf>
    <xf numFmtId="164" fontId="19" fillId="18" borderId="10" xfId="0" applyNumberFormat="1" applyFont="1" applyFill="1" applyBorder="1" applyAlignment="1">
      <alignment horizontal="center" vertical="center"/>
    </xf>
    <xf numFmtId="0" fontId="53" fillId="18" borderId="11" xfId="0" applyFont="1" applyFill="1" applyBorder="1" applyAlignment="1">
      <alignment horizontal="center" vertical="center"/>
    </xf>
    <xf numFmtId="164" fontId="3" fillId="18" borderId="11" xfId="0" applyNumberFormat="1" applyFont="1" applyFill="1" applyBorder="1" applyAlignment="1">
      <alignment horizontal="center" vertical="center"/>
    </xf>
    <xf numFmtId="1" fontId="3" fillId="18" borderId="11" xfId="0" applyNumberFormat="1" applyFont="1" applyFill="1" applyBorder="1" applyAlignment="1">
      <alignment horizontal="center" vertical="center"/>
    </xf>
    <xf numFmtId="1" fontId="3" fillId="18" borderId="12" xfId="0" applyNumberFormat="1" applyFont="1" applyFill="1" applyBorder="1" applyAlignment="1">
      <alignment horizontal="center" vertical="center"/>
    </xf>
    <xf numFmtId="164" fontId="19" fillId="18" borderId="15" xfId="0" applyNumberFormat="1" applyFont="1" applyFill="1" applyBorder="1" applyAlignment="1">
      <alignment horizontal="center" vertical="center"/>
    </xf>
    <xf numFmtId="0" fontId="53" fillId="18" borderId="17" xfId="0" applyFont="1" applyFill="1" applyBorder="1" applyAlignment="1">
      <alignment horizontal="center" vertical="center"/>
    </xf>
    <xf numFmtId="164" fontId="3" fillId="18" borderId="17" xfId="0" applyNumberFormat="1" applyFont="1" applyFill="1" applyBorder="1" applyAlignment="1">
      <alignment horizontal="center" vertical="center"/>
    </xf>
    <xf numFmtId="1" fontId="3" fillId="18" borderId="17" xfId="0" applyNumberFormat="1" applyFont="1" applyFill="1" applyBorder="1" applyAlignment="1">
      <alignment horizontal="center" vertical="center"/>
    </xf>
    <xf numFmtId="1" fontId="3" fillId="18" borderId="18" xfId="0" applyNumberFormat="1" applyFont="1" applyFill="1" applyBorder="1" applyAlignment="1">
      <alignment horizontal="center" vertical="center"/>
    </xf>
    <xf numFmtId="164" fontId="19" fillId="18" borderId="0" xfId="0" applyNumberFormat="1" applyFont="1" applyFill="1" applyAlignment="1">
      <alignment horizontal="center" vertical="center"/>
    </xf>
    <xf numFmtId="164" fontId="25" fillId="18" borderId="0" xfId="0" applyNumberFormat="1" applyFont="1" applyFill="1" applyAlignment="1">
      <alignment horizontal="center" vertical="center"/>
    </xf>
    <xf numFmtId="1" fontId="25" fillId="18" borderId="0" xfId="0" applyNumberFormat="1" applyFont="1" applyFill="1" applyAlignment="1">
      <alignment horizontal="center" vertical="center"/>
    </xf>
    <xf numFmtId="164" fontId="4" fillId="18" borderId="0" xfId="0" applyNumberFormat="1" applyFont="1" applyFill="1" applyAlignment="1">
      <alignment horizontal="center" vertical="center"/>
    </xf>
    <xf numFmtId="1" fontId="4" fillId="18" borderId="0" xfId="0" applyNumberFormat="1" applyFont="1" applyFill="1" applyAlignment="1">
      <alignment horizontal="center" vertical="center"/>
    </xf>
    <xf numFmtId="1" fontId="4" fillId="18" borderId="0" xfId="0" applyNumberFormat="1" applyFont="1" applyFill="1" applyAlignment="1">
      <alignment horizontal="center"/>
    </xf>
    <xf numFmtId="164" fontId="0" fillId="18" borderId="0" xfId="0" applyNumberFormat="1" applyFill="1" applyAlignment="1">
      <alignment vertical="center"/>
    </xf>
    <xf numFmtId="164" fontId="3" fillId="18" borderId="0" xfId="0" applyNumberFormat="1" applyFont="1" applyFill="1" applyAlignment="1">
      <alignment horizontal="center"/>
    </xf>
    <xf numFmtId="0" fontId="3" fillId="18" borderId="0" xfId="1" applyNumberFormat="1" applyFont="1" applyFill="1" applyBorder="1" applyAlignment="1" applyProtection="1">
      <alignment horizontal="center" vertical="center"/>
    </xf>
    <xf numFmtId="0" fontId="3" fillId="18" borderId="0" xfId="1" applyNumberFormat="1" applyFont="1" applyFill="1" applyBorder="1" applyAlignment="1" applyProtection="1">
      <alignment horizontal="center"/>
    </xf>
    <xf numFmtId="164" fontId="3" fillId="18" borderId="0" xfId="1" applyNumberFormat="1" applyFont="1" applyFill="1" applyBorder="1" applyAlignment="1" applyProtection="1">
      <alignment horizontal="center" vertical="center"/>
    </xf>
    <xf numFmtId="164" fontId="0" fillId="18" borderId="18" xfId="0" applyNumberFormat="1" applyFill="1" applyBorder="1" applyAlignment="1">
      <alignment vertical="center"/>
    </xf>
    <xf numFmtId="44" fontId="0" fillId="18" borderId="19" xfId="2" applyFont="1" applyFill="1" applyBorder="1" applyAlignment="1" applyProtection="1">
      <alignment horizontal="center" vertical="center"/>
    </xf>
    <xf numFmtId="164" fontId="54" fillId="18" borderId="0" xfId="0" applyNumberFormat="1" applyFont="1" applyFill="1" applyAlignment="1">
      <alignment horizontal="left" vertical="center"/>
    </xf>
    <xf numFmtId="0" fontId="6" fillId="18" borderId="0" xfId="0" applyFont="1" applyFill="1" applyAlignment="1">
      <alignment vertical="center"/>
    </xf>
    <xf numFmtId="164" fontId="67" fillId="18" borderId="0" xfId="0" applyNumberFormat="1" applyFont="1" applyFill="1" applyAlignment="1">
      <alignment horizontal="center" vertical="center"/>
    </xf>
    <xf numFmtId="164" fontId="68" fillId="18" borderId="0" xfId="0" applyNumberFormat="1" applyFont="1" applyFill="1" applyAlignment="1">
      <alignment horizontal="center" vertical="center"/>
    </xf>
    <xf numFmtId="164" fontId="7" fillId="18" borderId="0" xfId="0" applyNumberFormat="1" applyFont="1" applyFill="1" applyAlignment="1">
      <alignment vertical="center"/>
    </xf>
    <xf numFmtId="0" fontId="6" fillId="18" borderId="0" xfId="0" applyFont="1" applyFill="1" applyAlignment="1">
      <alignment horizontal="center" vertical="center"/>
    </xf>
    <xf numFmtId="164" fontId="6" fillId="18" borderId="0" xfId="0" applyNumberFormat="1" applyFont="1" applyFill="1" applyAlignment="1">
      <alignment horizontal="center" vertical="center"/>
    </xf>
    <xf numFmtId="0" fontId="3" fillId="18" borderId="0" xfId="0" applyFont="1" applyFill="1" applyAlignment="1">
      <alignment horizontal="center" vertical="center"/>
    </xf>
    <xf numFmtId="0" fontId="19" fillId="18" borderId="0" xfId="0" applyFont="1" applyFill="1" applyAlignment="1">
      <alignment horizontal="center"/>
    </xf>
    <xf numFmtId="0" fontId="7" fillId="18" borderId="0" xfId="0" applyFont="1" applyFill="1" applyAlignment="1">
      <alignment horizontal="center"/>
    </xf>
    <xf numFmtId="168" fontId="51" fillId="3" borderId="27" xfId="2" applyNumberFormat="1" applyFont="1" applyFill="1" applyBorder="1" applyAlignment="1" applyProtection="1">
      <alignment horizontal="center" vertical="center"/>
      <protection locked="0"/>
    </xf>
    <xf numFmtId="164" fontId="41" fillId="3" borderId="28" xfId="0" applyNumberFormat="1" applyFont="1" applyFill="1" applyBorder="1" applyAlignment="1">
      <alignment horizontal="center" vertical="center"/>
    </xf>
    <xf numFmtId="44" fontId="0" fillId="3" borderId="29" xfId="2" applyFont="1" applyFill="1" applyBorder="1" applyAlignment="1" applyProtection="1">
      <alignment horizontal="center" vertical="center"/>
    </xf>
    <xf numFmtId="168" fontId="1" fillId="3" borderId="27" xfId="2" applyNumberFormat="1" applyFont="1" applyFill="1" applyBorder="1" applyAlignment="1" applyProtection="1">
      <alignment horizontal="center" vertical="center"/>
      <protection locked="0"/>
    </xf>
    <xf numFmtId="0" fontId="0" fillId="18" borderId="24" xfId="0" applyFill="1" applyBorder="1" applyAlignment="1">
      <alignment horizontal="center" vertical="center"/>
    </xf>
    <xf numFmtId="0" fontId="0" fillId="18" borderId="24" xfId="0" applyFill="1" applyBorder="1"/>
    <xf numFmtId="0" fontId="4" fillId="18" borderId="0" xfId="0" quotePrefix="1" applyFont="1" applyFill="1" applyAlignment="1">
      <alignment horizontal="center" vertical="center"/>
    </xf>
    <xf numFmtId="0" fontId="40" fillId="18" borderId="0" xfId="0" quotePrefix="1" applyFont="1" applyFill="1" applyAlignment="1">
      <alignment horizontal="center" vertical="center"/>
    </xf>
    <xf numFmtId="0" fontId="2" fillId="18" borderId="0" xfId="0" applyFont="1" applyFill="1" applyAlignment="1">
      <alignment vertical="center"/>
    </xf>
    <xf numFmtId="0" fontId="3" fillId="18" borderId="30" xfId="0" applyFont="1" applyFill="1" applyBorder="1" applyAlignment="1">
      <alignment horizontal="left" vertical="center"/>
    </xf>
    <xf numFmtId="0" fontId="3" fillId="18" borderId="31" xfId="0" applyFont="1" applyFill="1" applyBorder="1" applyAlignment="1">
      <alignment horizontal="left" vertical="center"/>
    </xf>
    <xf numFmtId="0" fontId="0" fillId="3" borderId="31" xfId="0" applyFill="1" applyBorder="1"/>
    <xf numFmtId="0" fontId="12" fillId="18" borderId="0" xfId="0" applyFont="1" applyFill="1"/>
    <xf numFmtId="0" fontId="2" fillId="18" borderId="0" xfId="0" applyFont="1" applyFill="1"/>
    <xf numFmtId="0" fontId="14" fillId="18" borderId="0" xfId="0" applyFont="1" applyFill="1" applyAlignment="1">
      <alignment horizontal="center"/>
    </xf>
    <xf numFmtId="0" fontId="29" fillId="18" borderId="0" xfId="0" applyFont="1" applyFill="1" applyAlignment="1">
      <alignment horizontal="center" vertical="center"/>
    </xf>
    <xf numFmtId="0" fontId="16" fillId="18" borderId="0" xfId="0" quotePrefix="1" applyFont="1" applyFill="1" applyAlignment="1">
      <alignment horizontal="center"/>
    </xf>
    <xf numFmtId="0" fontId="16" fillId="18" borderId="0" xfId="0" applyFont="1" applyFill="1"/>
    <xf numFmtId="0" fontId="23" fillId="18" borderId="0" xfId="0" quotePrefix="1" applyFont="1" applyFill="1" applyAlignment="1">
      <alignment horizontal="center"/>
    </xf>
    <xf numFmtId="1" fontId="23" fillId="18" borderId="0" xfId="0" applyNumberFormat="1" applyFont="1" applyFill="1" applyAlignment="1">
      <alignment horizontal="center" vertical="center"/>
    </xf>
    <xf numFmtId="0" fontId="0" fillId="18" borderId="28" xfId="0" applyFill="1" applyBorder="1" applyAlignment="1">
      <alignment horizontal="center"/>
    </xf>
    <xf numFmtId="0" fontId="0" fillId="18" borderId="26" xfId="0" applyFill="1" applyBorder="1"/>
    <xf numFmtId="0" fontId="0" fillId="18" borderId="24" xfId="0" applyFill="1" applyBorder="1" applyAlignment="1">
      <alignment horizontal="center"/>
    </xf>
    <xf numFmtId="164" fontId="0" fillId="18" borderId="0" xfId="0" applyNumberFormat="1" applyFill="1" applyAlignment="1">
      <alignment horizontal="center" vertical="center"/>
    </xf>
    <xf numFmtId="0" fontId="4" fillId="20" borderId="0" xfId="0" applyFont="1" applyFill="1" applyAlignment="1">
      <alignment horizontal="center" vertical="center"/>
    </xf>
    <xf numFmtId="0" fontId="0" fillId="18" borderId="0" xfId="0" applyFill="1" applyAlignment="1">
      <alignment horizontal="left"/>
    </xf>
    <xf numFmtId="164" fontId="73" fillId="3" borderId="6" xfId="0" applyNumberFormat="1" applyFont="1" applyFill="1" applyBorder="1" applyAlignment="1">
      <alignment horizontal="center" vertical="center"/>
    </xf>
    <xf numFmtId="0" fontId="62" fillId="22" borderId="23" xfId="0" applyFont="1" applyFill="1" applyBorder="1" applyAlignment="1">
      <alignment horizontal="left" vertical="center"/>
    </xf>
    <xf numFmtId="0" fontId="20" fillId="22" borderId="24" xfId="0" applyFont="1" applyFill="1" applyBorder="1" applyAlignment="1">
      <alignment horizontal="center" vertical="center"/>
    </xf>
    <xf numFmtId="0" fontId="0" fillId="22" borderId="24" xfId="0" applyFill="1" applyBorder="1"/>
    <xf numFmtId="0" fontId="6" fillId="22" borderId="24" xfId="0" applyFont="1" applyFill="1" applyBorder="1" applyAlignment="1">
      <alignment vertical="center"/>
    </xf>
    <xf numFmtId="0" fontId="6" fillId="22" borderId="24" xfId="0" applyFont="1" applyFill="1" applyBorder="1" applyAlignment="1">
      <alignment horizontal="center" vertical="center"/>
    </xf>
    <xf numFmtId="0" fontId="20" fillId="22" borderId="25" xfId="0" applyFont="1" applyFill="1" applyBorder="1" applyAlignment="1">
      <alignment horizontal="center" vertical="center"/>
    </xf>
    <xf numFmtId="0" fontId="7" fillId="22" borderId="0" xfId="0" applyFont="1" applyFill="1" applyAlignment="1">
      <alignment horizontal="left" vertical="center"/>
    </xf>
    <xf numFmtId="164" fontId="7" fillId="22" borderId="0" xfId="0" applyNumberFormat="1" applyFont="1" applyFill="1" applyAlignment="1">
      <alignment horizontal="center" vertical="center" wrapText="1"/>
    </xf>
    <xf numFmtId="1" fontId="7" fillId="22" borderId="0" xfId="0" applyNumberFormat="1" applyFont="1" applyFill="1" applyAlignment="1">
      <alignment horizontal="center" vertical="center" wrapText="1"/>
    </xf>
    <xf numFmtId="0" fontId="7" fillId="22" borderId="0" xfId="0" applyFont="1" applyFill="1" applyAlignment="1">
      <alignment horizontal="center" vertical="center" wrapText="1"/>
    </xf>
    <xf numFmtId="0" fontId="6" fillId="22" borderId="0" xfId="0" applyFont="1" applyFill="1" applyAlignment="1">
      <alignment horizontal="center" vertical="center" wrapText="1"/>
    </xf>
    <xf numFmtId="1" fontId="4" fillId="20" borderId="0" xfId="0" applyNumberFormat="1" applyFont="1" applyFill="1" applyAlignment="1">
      <alignment horizontal="center" vertical="center"/>
    </xf>
    <xf numFmtId="164" fontId="4" fillId="20" borderId="0" xfId="0" applyNumberFormat="1" applyFont="1" applyFill="1" applyAlignment="1">
      <alignment horizontal="center" vertical="center"/>
    </xf>
    <xf numFmtId="0" fontId="4" fillId="18" borderId="0" xfId="0" applyFont="1" applyFill="1"/>
    <xf numFmtId="0" fontId="0" fillId="3" borderId="40" xfId="0" applyFill="1" applyBorder="1" applyAlignment="1" applyProtection="1">
      <alignment horizontal="center" vertical="center"/>
      <protection locked="0"/>
    </xf>
    <xf numFmtId="0" fontId="4" fillId="19" borderId="26" xfId="0" applyFont="1" applyFill="1" applyBorder="1" applyAlignment="1">
      <alignment horizontal="center"/>
    </xf>
    <xf numFmtId="0" fontId="0" fillId="14" borderId="0" xfId="0" applyFill="1" applyAlignment="1">
      <alignment vertical="center"/>
    </xf>
    <xf numFmtId="0" fontId="2" fillId="14" borderId="0" xfId="0" applyFont="1" applyFill="1" applyAlignment="1">
      <alignment vertical="center"/>
    </xf>
    <xf numFmtId="0" fontId="7" fillId="20" borderId="0" xfId="0" applyFont="1" applyFill="1" applyAlignment="1">
      <alignment vertical="center"/>
    </xf>
    <xf numFmtId="0" fontId="6" fillId="20" borderId="0" xfId="0" applyFont="1" applyFill="1" applyAlignment="1">
      <alignment horizontal="left" vertical="center"/>
    </xf>
    <xf numFmtId="0" fontId="4" fillId="14" borderId="0" xfId="0" applyFont="1" applyFill="1" applyAlignment="1">
      <alignment horizontal="left" vertical="center"/>
    </xf>
    <xf numFmtId="164" fontId="4" fillId="14" borderId="0" xfId="0" applyNumberFormat="1" applyFont="1" applyFill="1" applyAlignment="1">
      <alignment horizontal="center" vertical="center"/>
    </xf>
    <xf numFmtId="164" fontId="3" fillId="21" borderId="26" xfId="0" applyNumberFormat="1" applyFont="1" applyFill="1" applyBorder="1" applyAlignment="1">
      <alignment horizontal="center" vertical="center"/>
    </xf>
    <xf numFmtId="164" fontId="3" fillId="21" borderId="19" xfId="0" applyNumberFormat="1" applyFont="1" applyFill="1" applyBorder="1" applyAlignment="1">
      <alignment horizontal="center" vertical="center"/>
    </xf>
    <xf numFmtId="164" fontId="19" fillId="18" borderId="13" xfId="0" applyNumberFormat="1" applyFont="1" applyFill="1" applyBorder="1" applyAlignment="1">
      <alignment horizontal="center" vertical="center"/>
    </xf>
    <xf numFmtId="1" fontId="3" fillId="18" borderId="14" xfId="0" applyNumberFormat="1" applyFont="1" applyFill="1" applyBorder="1" applyAlignment="1">
      <alignment horizontal="center" vertical="center"/>
    </xf>
    <xf numFmtId="164" fontId="0" fillId="18" borderId="0" xfId="2" applyNumberFormat="1" applyFont="1" applyFill="1" applyBorder="1" applyAlignment="1" applyProtection="1">
      <alignment horizontal="center" vertical="center"/>
      <protection locked="0"/>
    </xf>
    <xf numFmtId="0" fontId="12" fillId="18" borderId="2" xfId="0" applyFont="1" applyFill="1" applyBorder="1" applyAlignment="1">
      <alignment horizontal="center" vertical="center"/>
    </xf>
    <xf numFmtId="164" fontId="17" fillId="18" borderId="0" xfId="1" applyNumberFormat="1" applyFont="1" applyFill="1" applyBorder="1" applyAlignment="1" applyProtection="1">
      <alignment horizontal="center" vertical="center"/>
    </xf>
    <xf numFmtId="0" fontId="50" fillId="18" borderId="0" xfId="0" applyFont="1" applyFill="1" applyAlignment="1">
      <alignment horizontal="center" vertical="center"/>
    </xf>
    <xf numFmtId="9" fontId="0" fillId="18" borderId="26" xfId="1" applyFont="1" applyFill="1" applyBorder="1" applyAlignment="1" applyProtection="1">
      <alignment horizontal="center" vertical="center"/>
    </xf>
    <xf numFmtId="164" fontId="3" fillId="18" borderId="26" xfId="0" applyNumberFormat="1" applyFont="1" applyFill="1" applyBorder="1" applyAlignment="1">
      <alignment horizontal="center" vertical="center"/>
    </xf>
    <xf numFmtId="164" fontId="3" fillId="18" borderId="19" xfId="0" applyNumberFormat="1" applyFont="1" applyFill="1" applyBorder="1" applyAlignment="1">
      <alignment horizontal="center" vertical="center"/>
    </xf>
    <xf numFmtId="164" fontId="41" fillId="18" borderId="0" xfId="0" applyNumberFormat="1" applyFont="1" applyFill="1" applyAlignment="1">
      <alignment horizontal="center" vertical="center"/>
    </xf>
    <xf numFmtId="164" fontId="16" fillId="18" borderId="2" xfId="0" quotePrefix="1" applyNumberFormat="1" applyFont="1" applyFill="1" applyBorder="1" applyAlignment="1">
      <alignment horizontal="center" vertical="center"/>
    </xf>
    <xf numFmtId="164" fontId="23" fillId="18" borderId="2" xfId="0" applyNumberFormat="1" applyFont="1" applyFill="1" applyBorder="1" applyAlignment="1">
      <alignment horizontal="center" vertical="center"/>
    </xf>
    <xf numFmtId="164" fontId="3" fillId="18" borderId="0" xfId="1" applyNumberFormat="1" applyFont="1" applyFill="1" applyBorder="1" applyAlignment="1" applyProtection="1">
      <alignment horizontal="center"/>
    </xf>
    <xf numFmtId="0" fontId="4" fillId="19" borderId="0" xfId="0" applyFont="1" applyFill="1" applyAlignment="1">
      <alignment horizontal="center"/>
    </xf>
    <xf numFmtId="164" fontId="0" fillId="4" borderId="24" xfId="0" applyNumberFormat="1" applyFill="1" applyBorder="1" applyAlignment="1">
      <alignment horizontal="center" vertical="center"/>
    </xf>
    <xf numFmtId="164" fontId="0" fillId="3" borderId="38" xfId="2" applyNumberFormat="1" applyFont="1" applyFill="1" applyBorder="1" applyAlignment="1" applyProtection="1">
      <alignment horizontal="center" vertical="center"/>
      <protection locked="0"/>
    </xf>
    <xf numFmtId="0" fontId="0" fillId="4" borderId="25" xfId="0" applyFill="1" applyBorder="1" applyAlignment="1">
      <alignment horizontal="center" vertical="center"/>
    </xf>
    <xf numFmtId="0" fontId="49" fillId="4" borderId="27" xfId="0" applyFont="1" applyFill="1" applyBorder="1" applyAlignment="1">
      <alignment horizontal="left"/>
    </xf>
    <xf numFmtId="164" fontId="0" fillId="4" borderId="28" xfId="0" applyNumberFormat="1" applyFill="1" applyBorder="1" applyAlignment="1">
      <alignment horizontal="center" vertical="center"/>
    </xf>
    <xf numFmtId="0" fontId="5" fillId="4" borderId="28" xfId="0" applyFont="1" applyFill="1" applyBorder="1" applyAlignment="1">
      <alignment horizontal="center" vertical="center"/>
    </xf>
    <xf numFmtId="0" fontId="0" fillId="4" borderId="29" xfId="0" applyFill="1" applyBorder="1" applyAlignment="1">
      <alignment horizontal="center" vertical="center"/>
    </xf>
    <xf numFmtId="164" fontId="0" fillId="3" borderId="43" xfId="2" applyNumberFormat="1" applyFont="1" applyFill="1" applyBorder="1" applyAlignment="1" applyProtection="1">
      <alignment horizontal="center" vertical="center"/>
      <protection locked="0"/>
    </xf>
    <xf numFmtId="164" fontId="0" fillId="21" borderId="43" xfId="0" applyNumberFormat="1" applyFill="1" applyBorder="1" applyAlignment="1">
      <alignment horizontal="center" vertical="center"/>
    </xf>
    <xf numFmtId="0" fontId="74" fillId="25" borderId="47" xfId="0" applyFont="1" applyFill="1" applyBorder="1" applyAlignment="1">
      <alignment horizontal="center" vertical="center"/>
    </xf>
    <xf numFmtId="0" fontId="0" fillId="3" borderId="48" xfId="0" applyFill="1" applyBorder="1" applyAlignment="1" applyProtection="1">
      <alignment horizontal="center" vertical="center"/>
      <protection locked="0"/>
    </xf>
    <xf numFmtId="0" fontId="7" fillId="25" borderId="46" xfId="0" applyFont="1" applyFill="1" applyBorder="1" applyAlignment="1">
      <alignment horizontal="left" vertical="center"/>
    </xf>
    <xf numFmtId="0" fontId="20" fillId="22" borderId="0" xfId="0" applyFont="1" applyFill="1" applyAlignment="1">
      <alignment horizontal="center" vertical="center"/>
    </xf>
    <xf numFmtId="164" fontId="2" fillId="15" borderId="0" xfId="2" applyNumberFormat="1" applyFont="1" applyFill="1" applyBorder="1" applyAlignment="1" applyProtection="1">
      <alignment horizontal="left" vertical="center"/>
      <protection locked="0"/>
    </xf>
    <xf numFmtId="164" fontId="2" fillId="15" borderId="0" xfId="2" applyNumberFormat="1" applyFont="1" applyFill="1" applyBorder="1" applyAlignment="1" applyProtection="1">
      <alignment horizontal="center" vertical="center"/>
      <protection locked="0"/>
    </xf>
    <xf numFmtId="0" fontId="42" fillId="22" borderId="0" xfId="0" applyFont="1" applyFill="1" applyAlignment="1">
      <alignment vertical="center"/>
    </xf>
    <xf numFmtId="164" fontId="2" fillId="15" borderId="37" xfId="2" applyNumberFormat="1" applyFont="1" applyFill="1" applyBorder="1" applyAlignment="1" applyProtection="1">
      <alignment horizontal="center" vertical="center"/>
      <protection locked="0"/>
    </xf>
    <xf numFmtId="0" fontId="3" fillId="18" borderId="0" xfId="0" applyFont="1" applyFill="1" applyAlignment="1">
      <alignment horizontal="right"/>
    </xf>
    <xf numFmtId="0" fontId="3" fillId="24" borderId="0" xfId="0" applyFont="1" applyFill="1" applyAlignment="1">
      <alignment horizontal="left" vertical="center"/>
    </xf>
    <xf numFmtId="0" fontId="0" fillId="4" borderId="54" xfId="0" applyFill="1" applyBorder="1" applyAlignment="1" applyProtection="1">
      <alignment horizontal="center" vertical="center"/>
      <protection locked="0"/>
    </xf>
    <xf numFmtId="164" fontId="2" fillId="15" borderId="38" xfId="2" applyNumberFormat="1" applyFont="1" applyFill="1" applyBorder="1" applyAlignment="1" applyProtection="1">
      <alignment horizontal="center" vertical="center"/>
      <protection locked="0"/>
    </xf>
    <xf numFmtId="0" fontId="26" fillId="18" borderId="28" xfId="0" applyFont="1" applyFill="1" applyBorder="1" applyAlignment="1">
      <alignment vertical="center"/>
    </xf>
    <xf numFmtId="0" fontId="12" fillId="18" borderId="0" xfId="0" applyFont="1" applyFill="1" applyAlignment="1">
      <alignment horizontal="left"/>
    </xf>
    <xf numFmtId="0" fontId="29" fillId="4" borderId="24" xfId="0" applyFont="1" applyFill="1" applyBorder="1" applyAlignment="1">
      <alignment horizontal="left" vertical="center"/>
    </xf>
    <xf numFmtId="0" fontId="12" fillId="18" borderId="24" xfId="0" applyFont="1" applyFill="1" applyBorder="1" applyAlignment="1">
      <alignment horizontal="center"/>
    </xf>
    <xf numFmtId="0" fontId="52" fillId="18" borderId="24" xfId="0" applyFont="1" applyFill="1" applyBorder="1" applyAlignment="1">
      <alignment horizontal="center"/>
    </xf>
    <xf numFmtId="0" fontId="45" fillId="18" borderId="25" xfId="0" applyFont="1" applyFill="1" applyBorder="1" applyAlignment="1">
      <alignment horizontal="center"/>
    </xf>
    <xf numFmtId="0" fontId="45" fillId="18" borderId="19" xfId="0" applyFont="1" applyFill="1" applyBorder="1" applyAlignment="1">
      <alignment horizontal="center"/>
    </xf>
    <xf numFmtId="0" fontId="0" fillId="4" borderId="19" xfId="0" applyFill="1" applyBorder="1" applyAlignment="1">
      <alignment horizontal="center"/>
    </xf>
    <xf numFmtId="0" fontId="0" fillId="18" borderId="27" xfId="0" applyFill="1" applyBorder="1"/>
    <xf numFmtId="1" fontId="0" fillId="18" borderId="28" xfId="0" applyNumberFormat="1" applyFill="1" applyBorder="1" applyAlignment="1" applyProtection="1">
      <alignment horizontal="center" vertical="center"/>
      <protection locked="0"/>
    </xf>
    <xf numFmtId="0" fontId="26" fillId="18" borderId="29" xfId="0" applyFont="1" applyFill="1" applyBorder="1" applyAlignment="1">
      <alignment vertical="center"/>
    </xf>
    <xf numFmtId="0" fontId="26" fillId="4" borderId="24" xfId="0" applyFont="1" applyFill="1" applyBorder="1" applyAlignment="1">
      <alignment horizontal="center" vertical="center"/>
    </xf>
    <xf numFmtId="0" fontId="2" fillId="4" borderId="24" xfId="0" applyFont="1" applyFill="1" applyBorder="1" applyAlignment="1">
      <alignment horizontal="center" vertical="center"/>
    </xf>
    <xf numFmtId="0" fontId="0" fillId="4" borderId="19" xfId="0" applyFill="1" applyBorder="1" applyAlignment="1">
      <alignment horizontal="center" vertical="center"/>
    </xf>
    <xf numFmtId="0" fontId="4" fillId="19" borderId="19" xfId="0" applyFont="1" applyFill="1" applyBorder="1" applyAlignment="1">
      <alignment horizontal="center"/>
    </xf>
    <xf numFmtId="0" fontId="11" fillId="4" borderId="26" xfId="0" applyFont="1" applyFill="1" applyBorder="1" applyAlignment="1">
      <alignment vertical="center"/>
    </xf>
    <xf numFmtId="164" fontId="0" fillId="3" borderId="56" xfId="2" applyNumberFormat="1" applyFont="1" applyFill="1" applyBorder="1" applyAlignment="1" applyProtection="1">
      <alignment horizontal="center" vertical="center"/>
      <protection locked="0"/>
    </xf>
    <xf numFmtId="0" fontId="0" fillId="4" borderId="35" xfId="0" applyFill="1" applyBorder="1" applyAlignment="1">
      <alignment horizontal="center" vertical="center"/>
    </xf>
    <xf numFmtId="0" fontId="0" fillId="4" borderId="57" xfId="0" applyFill="1" applyBorder="1" applyAlignment="1">
      <alignment horizontal="center" vertical="center"/>
    </xf>
    <xf numFmtId="0" fontId="0" fillId="4" borderId="36" xfId="0" applyFill="1" applyBorder="1" applyAlignment="1">
      <alignment horizontal="center" vertical="center"/>
    </xf>
    <xf numFmtId="0" fontId="0" fillId="4" borderId="26" xfId="0" applyFill="1" applyBorder="1" applyAlignment="1">
      <alignment horizontal="center" vertical="center"/>
    </xf>
    <xf numFmtId="0" fontId="4" fillId="4" borderId="35"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19" xfId="0" applyFont="1" applyFill="1" applyBorder="1" applyAlignment="1">
      <alignment horizontal="center" vertical="center"/>
    </xf>
    <xf numFmtId="0" fontId="12" fillId="4" borderId="35" xfId="0" applyFont="1" applyFill="1" applyBorder="1" applyAlignment="1">
      <alignment horizontal="center" vertical="center"/>
    </xf>
    <xf numFmtId="164" fontId="0" fillId="18" borderId="26" xfId="2" applyNumberFormat="1" applyFont="1" applyFill="1" applyBorder="1" applyAlignment="1" applyProtection="1">
      <alignment horizontal="center" vertical="center"/>
      <protection locked="0"/>
    </xf>
    <xf numFmtId="0" fontId="12" fillId="4" borderId="36" xfId="0" applyFont="1" applyFill="1" applyBorder="1" applyAlignment="1">
      <alignment horizontal="center" vertical="center"/>
    </xf>
    <xf numFmtId="0" fontId="12" fillId="4" borderId="19" xfId="0" applyFont="1" applyFill="1" applyBorder="1" applyAlignment="1">
      <alignment horizontal="center" vertical="center"/>
    </xf>
    <xf numFmtId="164" fontId="16" fillId="4" borderId="35" xfId="0" quotePrefix="1" applyNumberFormat="1" applyFont="1" applyFill="1" applyBorder="1" applyAlignment="1">
      <alignment horizontal="center" vertical="center"/>
    </xf>
    <xf numFmtId="164" fontId="16" fillId="4" borderId="36" xfId="0" quotePrefix="1" applyNumberFormat="1" applyFont="1" applyFill="1" applyBorder="1" applyAlignment="1">
      <alignment horizontal="center" vertical="center"/>
    </xf>
    <xf numFmtId="164" fontId="16" fillId="4" borderId="19" xfId="0" quotePrefix="1" applyNumberFormat="1" applyFont="1" applyFill="1" applyBorder="1" applyAlignment="1">
      <alignment horizontal="center" vertical="center"/>
    </xf>
    <xf numFmtId="164" fontId="23" fillId="4" borderId="35" xfId="0" applyNumberFormat="1" applyFont="1" applyFill="1" applyBorder="1" applyAlignment="1">
      <alignment horizontal="center" vertical="center"/>
    </xf>
    <xf numFmtId="0" fontId="0" fillId="4" borderId="57" xfId="0" applyFill="1" applyBorder="1" applyAlignment="1">
      <alignment vertical="center"/>
    </xf>
    <xf numFmtId="164" fontId="23" fillId="4" borderId="36" xfId="0" applyNumberFormat="1" applyFont="1" applyFill="1" applyBorder="1" applyAlignment="1">
      <alignment horizontal="center" vertical="center"/>
    </xf>
    <xf numFmtId="164" fontId="23" fillId="4" borderId="19" xfId="0" applyNumberFormat="1" applyFont="1" applyFill="1" applyBorder="1" applyAlignment="1">
      <alignment horizontal="center" vertical="center"/>
    </xf>
    <xf numFmtId="0" fontId="2" fillId="4" borderId="26" xfId="0" applyFont="1" applyFill="1" applyBorder="1" applyAlignment="1">
      <alignment horizontal="center" vertical="center"/>
    </xf>
    <xf numFmtId="1" fontId="22" fillId="4" borderId="19" xfId="0" applyNumberFormat="1" applyFont="1" applyFill="1" applyBorder="1" applyAlignment="1">
      <alignment horizontal="center" vertical="center"/>
    </xf>
    <xf numFmtId="0" fontId="4" fillId="4" borderId="26" xfId="0" applyFont="1" applyFill="1" applyBorder="1" applyAlignment="1">
      <alignment horizontal="center" vertical="center"/>
    </xf>
    <xf numFmtId="1" fontId="23" fillId="4" borderId="19" xfId="0" applyNumberFormat="1" applyFont="1" applyFill="1" applyBorder="1" applyAlignment="1">
      <alignment horizontal="center" vertical="center"/>
    </xf>
    <xf numFmtId="0" fontId="0" fillId="4" borderId="27" xfId="0" applyFill="1" applyBorder="1" applyAlignment="1">
      <alignment horizontal="center" vertical="center" wrapText="1"/>
    </xf>
    <xf numFmtId="0" fontId="0" fillId="4" borderId="28" xfId="0" applyFill="1" applyBorder="1" applyAlignment="1">
      <alignment horizontal="center" vertical="center" wrapText="1"/>
    </xf>
    <xf numFmtId="0" fontId="12" fillId="4" borderId="28" xfId="0" applyFont="1" applyFill="1" applyBorder="1" applyAlignment="1">
      <alignment horizontal="right" vertical="center" wrapText="1"/>
    </xf>
    <xf numFmtId="0" fontId="2" fillId="4" borderId="28" xfId="0" applyFont="1" applyFill="1" applyBorder="1" applyAlignment="1">
      <alignment horizontal="right" vertical="center" wrapText="1"/>
    </xf>
    <xf numFmtId="164" fontId="2" fillId="3" borderId="58" xfId="2" applyNumberFormat="1" applyFont="1" applyFill="1" applyBorder="1" applyAlignment="1" applyProtection="1">
      <alignment horizontal="center" vertical="center"/>
      <protection locked="0"/>
    </xf>
    <xf numFmtId="0" fontId="2" fillId="3" borderId="58" xfId="0" applyFont="1" applyFill="1" applyBorder="1" applyAlignment="1" applyProtection="1">
      <alignment horizontal="center" vertical="center"/>
      <protection locked="0"/>
    </xf>
    <xf numFmtId="1" fontId="23" fillId="4" borderId="29" xfId="0" applyNumberFormat="1" applyFont="1" applyFill="1" applyBorder="1" applyAlignment="1">
      <alignment horizontal="center"/>
    </xf>
    <xf numFmtId="0" fontId="0" fillId="18" borderId="26" xfId="0" applyFill="1" applyBorder="1" applyAlignment="1">
      <alignment horizontal="center" vertical="center"/>
    </xf>
    <xf numFmtId="0" fontId="0" fillId="18" borderId="24" xfId="0" applyFill="1" applyBorder="1" applyAlignment="1">
      <alignment vertical="center"/>
    </xf>
    <xf numFmtId="0" fontId="7" fillId="25" borderId="49" xfId="0" applyFont="1" applyFill="1" applyBorder="1" applyAlignment="1">
      <alignment horizontal="center" vertical="center"/>
    </xf>
    <xf numFmtId="0" fontId="4" fillId="18" borderId="2" xfId="0" applyFont="1" applyFill="1" applyBorder="1" applyAlignment="1">
      <alignment horizontal="center" vertical="center"/>
    </xf>
    <xf numFmtId="164" fontId="0" fillId="18" borderId="17" xfId="0" applyNumberFormat="1" applyFill="1" applyBorder="1" applyAlignment="1">
      <alignment horizontal="center" vertical="center"/>
    </xf>
    <xf numFmtId="0" fontId="0" fillId="18" borderId="23" xfId="0" applyFill="1" applyBorder="1" applyAlignment="1">
      <alignment vertical="center"/>
    </xf>
    <xf numFmtId="0" fontId="50" fillId="18" borderId="0" xfId="0" applyFont="1" applyFill="1" applyAlignment="1">
      <alignment vertical="center"/>
    </xf>
    <xf numFmtId="0" fontId="0" fillId="18" borderId="26" xfId="0" applyFill="1" applyBorder="1" applyAlignment="1">
      <alignment horizontal="center"/>
    </xf>
    <xf numFmtId="164" fontId="2" fillId="18" borderId="0" xfId="0" applyNumberFormat="1" applyFont="1" applyFill="1" applyAlignment="1">
      <alignment horizontal="center" vertical="center" wrapText="1"/>
    </xf>
    <xf numFmtId="1" fontId="4" fillId="18" borderId="0" xfId="0" applyNumberFormat="1" applyFont="1" applyFill="1" applyAlignment="1">
      <alignment horizontal="center" vertical="center" wrapText="1"/>
    </xf>
    <xf numFmtId="0" fontId="4" fillId="18" borderId="0" xfId="0" applyFont="1" applyFill="1" applyAlignment="1">
      <alignment horizontal="center" vertical="center" wrapText="1"/>
    </xf>
    <xf numFmtId="164" fontId="31" fillId="18" borderId="0" xfId="0" applyNumberFormat="1" applyFont="1" applyFill="1" applyAlignment="1">
      <alignment horizontal="center" vertical="center"/>
    </xf>
    <xf numFmtId="1" fontId="2" fillId="18" borderId="0" xfId="0" applyNumberFormat="1" applyFont="1" applyFill="1" applyAlignment="1">
      <alignment horizontal="center" vertical="center"/>
    </xf>
    <xf numFmtId="164" fontId="0" fillId="18" borderId="0" xfId="2" applyNumberFormat="1" applyFont="1" applyFill="1" applyBorder="1" applyAlignment="1" applyProtection="1">
      <alignment horizontal="center" vertical="center"/>
    </xf>
    <xf numFmtId="44" fontId="0" fillId="18" borderId="0" xfId="2" applyFont="1" applyFill="1" applyBorder="1" applyAlignment="1" applyProtection="1">
      <alignment horizontal="center" vertical="center"/>
    </xf>
    <xf numFmtId="0" fontId="62" fillId="20" borderId="25" xfId="0" applyFont="1" applyFill="1" applyBorder="1" applyAlignment="1">
      <alignment horizontal="left" vertical="center"/>
    </xf>
    <xf numFmtId="0" fontId="0" fillId="3" borderId="19" xfId="0" applyFill="1" applyBorder="1" applyAlignment="1">
      <alignment vertical="center"/>
    </xf>
    <xf numFmtId="0" fontId="3" fillId="18" borderId="28" xfId="0" applyFont="1" applyFill="1" applyBorder="1" applyAlignment="1">
      <alignment horizontal="left"/>
    </xf>
    <xf numFmtId="0" fontId="3" fillId="18" borderId="28" xfId="0" applyFont="1" applyFill="1" applyBorder="1" applyAlignment="1">
      <alignment horizontal="right"/>
    </xf>
    <xf numFmtId="0" fontId="0" fillId="10" borderId="58" xfId="0" applyFill="1" applyBorder="1" applyAlignment="1">
      <alignment horizontal="center"/>
    </xf>
    <xf numFmtId="0" fontId="0" fillId="3" borderId="29" xfId="0" applyFill="1" applyBorder="1"/>
    <xf numFmtId="9" fontId="3" fillId="18" borderId="0" xfId="1" applyFont="1" applyFill="1" applyBorder="1" applyAlignment="1" applyProtection="1">
      <alignment horizontal="center" vertical="center"/>
    </xf>
    <xf numFmtId="168" fontId="1" fillId="18" borderId="0" xfId="2" applyNumberFormat="1" applyFont="1" applyFill="1" applyBorder="1" applyAlignment="1" applyProtection="1">
      <alignment horizontal="center" vertical="center"/>
      <protection locked="0"/>
    </xf>
    <xf numFmtId="168" fontId="0" fillId="18" borderId="26" xfId="2" applyNumberFormat="1" applyFont="1" applyFill="1" applyBorder="1" applyAlignment="1" applyProtection="1">
      <alignment horizontal="center" vertical="center"/>
      <protection locked="0"/>
    </xf>
    <xf numFmtId="0" fontId="0" fillId="0" borderId="27" xfId="0" applyBorder="1" applyAlignment="1">
      <alignment horizontal="center" vertical="center"/>
    </xf>
    <xf numFmtId="0" fontId="3" fillId="3" borderId="30" xfId="0" applyFont="1" applyFill="1" applyBorder="1" applyAlignment="1">
      <alignment horizontal="left"/>
    </xf>
    <xf numFmtId="1" fontId="7" fillId="22" borderId="24" xfId="0" applyNumberFormat="1" applyFont="1" applyFill="1" applyBorder="1" applyAlignment="1">
      <alignment horizontal="center" vertical="center"/>
    </xf>
    <xf numFmtId="164" fontId="6" fillId="22" borderId="0" xfId="0" applyNumberFormat="1" applyFont="1" applyFill="1" applyAlignment="1">
      <alignment horizontal="center" vertical="center"/>
    </xf>
    <xf numFmtId="0" fontId="6" fillId="22" borderId="0" xfId="0" applyFont="1" applyFill="1" applyAlignment="1">
      <alignment horizontal="center" vertical="center"/>
    </xf>
    <xf numFmtId="1" fontId="7" fillId="22" borderId="0" xfId="0" applyNumberFormat="1" applyFont="1" applyFill="1" applyAlignment="1">
      <alignment horizontal="center" vertical="center"/>
    </xf>
    <xf numFmtId="0" fontId="6" fillId="22" borderId="0" xfId="0" applyFont="1" applyFill="1" applyAlignment="1">
      <alignment vertical="center"/>
    </xf>
    <xf numFmtId="164" fontId="61" fillId="22" borderId="0" xfId="0" applyNumberFormat="1" applyFont="1" applyFill="1" applyAlignment="1">
      <alignment horizontal="center" vertical="center"/>
    </xf>
    <xf numFmtId="164" fontId="7" fillId="22" borderId="0" xfId="2" applyNumberFormat="1" applyFont="1" applyFill="1" applyBorder="1" applyAlignment="1" applyProtection="1">
      <alignment horizontal="center" vertical="center"/>
    </xf>
    <xf numFmtId="168" fontId="7" fillId="22" borderId="0" xfId="2" applyNumberFormat="1" applyFont="1" applyFill="1" applyBorder="1" applyAlignment="1" applyProtection="1">
      <alignment horizontal="center" vertical="center"/>
    </xf>
    <xf numFmtId="164" fontId="6" fillId="22" borderId="0" xfId="2" applyNumberFormat="1" applyFont="1" applyFill="1" applyBorder="1" applyAlignment="1" applyProtection="1">
      <alignment horizontal="center" vertical="center"/>
    </xf>
    <xf numFmtId="164" fontId="43" fillId="22" borderId="0" xfId="2" applyNumberFormat="1" applyFont="1" applyFill="1" applyBorder="1" applyAlignment="1" applyProtection="1">
      <alignment horizontal="center" vertical="center"/>
    </xf>
    <xf numFmtId="2" fontId="7" fillId="22" borderId="19" xfId="0" applyNumberFormat="1" applyFont="1" applyFill="1" applyBorder="1" applyAlignment="1">
      <alignment horizontal="center" vertical="center"/>
    </xf>
    <xf numFmtId="0" fontId="7" fillId="22" borderId="28" xfId="0" applyFont="1" applyFill="1" applyBorder="1" applyAlignment="1">
      <alignment horizontal="left" vertical="center"/>
    </xf>
    <xf numFmtId="164" fontId="7" fillId="22" borderId="28" xfId="0" applyNumberFormat="1" applyFont="1" applyFill="1" applyBorder="1" applyAlignment="1">
      <alignment horizontal="center" vertical="center" wrapText="1"/>
    </xf>
    <xf numFmtId="1" fontId="7" fillId="22" borderId="28" xfId="0" applyNumberFormat="1" applyFont="1" applyFill="1" applyBorder="1" applyAlignment="1">
      <alignment horizontal="center" vertical="center" wrapText="1"/>
    </xf>
    <xf numFmtId="0" fontId="6" fillId="22" borderId="28" xfId="0" applyFont="1" applyFill="1" applyBorder="1" applyAlignment="1">
      <alignment vertical="center"/>
    </xf>
    <xf numFmtId="0" fontId="7" fillId="22" borderId="28" xfId="0" applyFont="1" applyFill="1" applyBorder="1" applyAlignment="1">
      <alignment horizontal="center" vertical="center" wrapText="1"/>
    </xf>
    <xf numFmtId="0" fontId="6" fillId="22" borderId="28" xfId="0" applyFont="1" applyFill="1" applyBorder="1" applyAlignment="1">
      <alignment horizontal="center" vertical="center" wrapText="1"/>
    </xf>
    <xf numFmtId="164" fontId="61" fillId="22" borderId="28" xfId="0" applyNumberFormat="1" applyFont="1" applyFill="1" applyBorder="1" applyAlignment="1">
      <alignment horizontal="center" vertical="center"/>
    </xf>
    <xf numFmtId="1" fontId="7" fillId="22" borderId="28" xfId="0" applyNumberFormat="1" applyFont="1" applyFill="1" applyBorder="1" applyAlignment="1">
      <alignment horizontal="center" vertical="center"/>
    </xf>
    <xf numFmtId="168" fontId="7" fillId="22" borderId="28" xfId="2" applyNumberFormat="1" applyFont="1" applyFill="1" applyBorder="1" applyAlignment="1" applyProtection="1">
      <alignment horizontal="center" vertical="center"/>
    </xf>
    <xf numFmtId="164" fontId="6" fillId="22" borderId="28" xfId="2" applyNumberFormat="1" applyFont="1" applyFill="1" applyBorder="1" applyAlignment="1" applyProtection="1">
      <alignment horizontal="center" vertical="center"/>
    </xf>
    <xf numFmtId="2" fontId="7" fillId="22" borderId="29" xfId="0" applyNumberFormat="1" applyFont="1" applyFill="1" applyBorder="1" applyAlignment="1">
      <alignment horizontal="center" vertical="center" wrapText="1"/>
    </xf>
    <xf numFmtId="0" fontId="26" fillId="4" borderId="26" xfId="0" applyFont="1" applyFill="1" applyBorder="1" applyAlignment="1">
      <alignment vertical="center"/>
    </xf>
    <xf numFmtId="0" fontId="0" fillId="4" borderId="27" xfId="0" applyFill="1" applyBorder="1" applyAlignment="1">
      <alignment horizontal="center"/>
    </xf>
    <xf numFmtId="0" fontId="26" fillId="4" borderId="23" xfId="0" applyFont="1" applyFill="1" applyBorder="1" applyAlignment="1">
      <alignment vertical="center"/>
    </xf>
    <xf numFmtId="0" fontId="26" fillId="4" borderId="0" xfId="0" applyFont="1" applyFill="1" applyAlignment="1">
      <alignment vertical="center"/>
    </xf>
    <xf numFmtId="0" fontId="26" fillId="4" borderId="28" xfId="0" applyFont="1" applyFill="1" applyBorder="1" applyAlignment="1">
      <alignment vertical="center"/>
    </xf>
    <xf numFmtId="0" fontId="0" fillId="4" borderId="28" xfId="0" applyFill="1" applyBorder="1" applyAlignment="1">
      <alignment horizontal="center"/>
    </xf>
    <xf numFmtId="0" fontId="0" fillId="4" borderId="29" xfId="0" applyFill="1" applyBorder="1" applyAlignment="1">
      <alignment horizontal="center"/>
    </xf>
    <xf numFmtId="0" fontId="26" fillId="4" borderId="24" xfId="0" applyFont="1" applyFill="1" applyBorder="1" applyAlignment="1">
      <alignment vertical="center"/>
    </xf>
    <xf numFmtId="0" fontId="0" fillId="4" borderId="24" xfId="0" applyFill="1" applyBorder="1" applyAlignment="1">
      <alignment horizontal="center"/>
    </xf>
    <xf numFmtId="0" fontId="0" fillId="4" borderId="25" xfId="0" applyFill="1" applyBorder="1" applyAlignment="1">
      <alignment horizontal="center"/>
    </xf>
    <xf numFmtId="0" fontId="0" fillId="18" borderId="26" xfId="0" applyFill="1" applyBorder="1" applyAlignment="1">
      <alignment vertical="center"/>
    </xf>
    <xf numFmtId="0" fontId="0" fillId="18" borderId="27" xfId="0" applyFill="1" applyBorder="1" applyAlignment="1">
      <alignment vertical="center"/>
    </xf>
    <xf numFmtId="0" fontId="0" fillId="4" borderId="32" xfId="0" applyFill="1" applyBorder="1" applyAlignment="1">
      <alignment horizontal="center"/>
    </xf>
    <xf numFmtId="0" fontId="0" fillId="4" borderId="50" xfId="0" applyFill="1" applyBorder="1" applyAlignment="1">
      <alignment horizontal="center"/>
    </xf>
    <xf numFmtId="0" fontId="0" fillId="4" borderId="52" xfId="0" applyFill="1" applyBorder="1" applyAlignment="1">
      <alignment horizontal="center"/>
    </xf>
    <xf numFmtId="0" fontId="0" fillId="4" borderId="53" xfId="0" applyFill="1" applyBorder="1" applyAlignment="1">
      <alignment horizontal="center"/>
    </xf>
    <xf numFmtId="0" fontId="0" fillId="4" borderId="39" xfId="0" applyFill="1" applyBorder="1" applyAlignment="1">
      <alignment horizontal="center"/>
    </xf>
    <xf numFmtId="0" fontId="0" fillId="4" borderId="51" xfId="0" applyFill="1" applyBorder="1" applyAlignment="1">
      <alignment horizontal="center"/>
    </xf>
    <xf numFmtId="164" fontId="0" fillId="4" borderId="26" xfId="2" applyNumberFormat="1" applyFont="1" applyFill="1" applyBorder="1" applyAlignment="1" applyProtection="1">
      <alignment horizontal="center" vertical="center"/>
      <protection locked="0"/>
    </xf>
    <xf numFmtId="0" fontId="26" fillId="4" borderId="17" xfId="0" applyFont="1" applyFill="1" applyBorder="1" applyAlignment="1">
      <alignment horizontal="center" vertical="center"/>
    </xf>
    <xf numFmtId="0" fontId="7" fillId="25" borderId="55" xfId="0" applyFont="1" applyFill="1" applyBorder="1" applyAlignment="1">
      <alignment horizontal="center" vertical="center"/>
    </xf>
    <xf numFmtId="0" fontId="13" fillId="3" borderId="0" xfId="0" applyFont="1" applyFill="1"/>
    <xf numFmtId="9" fontId="34" fillId="3" borderId="0" xfId="1" applyFont="1" applyFill="1" applyBorder="1" applyAlignment="1" applyProtection="1">
      <alignment horizontal="center"/>
    </xf>
    <xf numFmtId="164" fontId="43" fillId="22" borderId="6" xfId="0" applyNumberFormat="1" applyFont="1" applyFill="1" applyBorder="1" applyAlignment="1">
      <alignment horizontal="center" vertical="center"/>
    </xf>
    <xf numFmtId="164" fontId="0" fillId="21" borderId="24" xfId="1" applyNumberFormat="1" applyFont="1" applyFill="1" applyBorder="1" applyAlignment="1" applyProtection="1">
      <alignment horizontal="center" vertical="center"/>
    </xf>
    <xf numFmtId="164" fontId="0" fillId="3" borderId="28" xfId="1" applyNumberFormat="1" applyFont="1" applyFill="1" applyBorder="1" applyAlignment="1" applyProtection="1">
      <alignment horizontal="center" vertical="center"/>
    </xf>
    <xf numFmtId="0" fontId="28" fillId="23" borderId="0" xfId="0" applyFont="1" applyFill="1" applyAlignment="1">
      <alignment horizontal="center" vertical="center"/>
    </xf>
    <xf numFmtId="0" fontId="79" fillId="23" borderId="0" xfId="0" applyFont="1" applyFill="1" applyAlignment="1">
      <alignment horizontal="left" vertical="center"/>
    </xf>
    <xf numFmtId="0" fontId="26" fillId="28" borderId="0" xfId="0" applyFont="1" applyFill="1" applyAlignment="1">
      <alignment vertical="center"/>
    </xf>
    <xf numFmtId="0" fontId="13" fillId="28" borderId="0" xfId="0" applyFont="1" applyFill="1" applyAlignment="1">
      <alignment horizontal="center" wrapText="1"/>
    </xf>
    <xf numFmtId="0" fontId="0" fillId="28" borderId="0" xfId="0" applyFill="1" applyAlignment="1">
      <alignment horizontal="center"/>
    </xf>
    <xf numFmtId="0" fontId="13" fillId="28" borderId="0" xfId="0" applyFont="1" applyFill="1" applyAlignment="1">
      <alignment horizontal="center"/>
    </xf>
    <xf numFmtId="0" fontId="80" fillId="28" borderId="0" xfId="0" quotePrefix="1" applyFont="1" applyFill="1" applyAlignment="1">
      <alignment horizontal="left"/>
    </xf>
    <xf numFmtId="0" fontId="0" fillId="28" borderId="0" xfId="0" applyFill="1"/>
    <xf numFmtId="0" fontId="16" fillId="28" borderId="0" xfId="0" applyFont="1" applyFill="1"/>
    <xf numFmtId="164" fontId="7" fillId="20" borderId="0" xfId="0" applyNumberFormat="1" applyFont="1" applyFill="1" applyAlignment="1">
      <alignment horizontal="left" vertical="center"/>
    </xf>
    <xf numFmtId="1" fontId="7" fillId="20" borderId="0" xfId="0" applyNumberFormat="1" applyFont="1" applyFill="1" applyAlignment="1">
      <alignment horizontal="left" vertical="center"/>
    </xf>
    <xf numFmtId="1" fontId="7" fillId="20" borderId="0" xfId="0" applyNumberFormat="1" applyFont="1" applyFill="1" applyAlignment="1">
      <alignment horizontal="right" vertical="center"/>
    </xf>
    <xf numFmtId="0" fontId="3" fillId="4" borderId="0" xfId="0" applyFont="1" applyFill="1" applyAlignment="1">
      <alignment horizontal="left" vertical="center"/>
    </xf>
    <xf numFmtId="0" fontId="2" fillId="18" borderId="0" xfId="0" quotePrefix="1" applyFont="1" applyFill="1" applyAlignment="1">
      <alignment horizontal="right" vertical="center"/>
    </xf>
    <xf numFmtId="0" fontId="15" fillId="23" borderId="0" xfId="0" applyFont="1" applyFill="1" applyAlignment="1">
      <alignment horizontal="center" vertical="center"/>
    </xf>
    <xf numFmtId="0" fontId="79" fillId="23" borderId="0" xfId="0" applyFont="1" applyFill="1" applyAlignment="1">
      <alignment horizontal="center" vertical="center"/>
    </xf>
    <xf numFmtId="0" fontId="4" fillId="4" borderId="0" xfId="0" applyFont="1" applyFill="1" applyAlignment="1">
      <alignment horizontal="left" vertical="center"/>
    </xf>
    <xf numFmtId="0" fontId="26" fillId="3" borderId="0" xfId="0" applyFont="1" applyFill="1" applyAlignment="1">
      <alignment horizontal="center" vertical="center"/>
    </xf>
    <xf numFmtId="0" fontId="42" fillId="3" borderId="0" xfId="0" applyFont="1" applyFill="1" applyAlignment="1">
      <alignment vertical="center"/>
    </xf>
    <xf numFmtId="0" fontId="13" fillId="3" borderId="0" xfId="0" applyFont="1" applyFill="1" applyAlignment="1">
      <alignment horizontal="center" vertical="center"/>
    </xf>
    <xf numFmtId="0" fontId="9" fillId="3" borderId="0" xfId="0" applyFont="1" applyFill="1" applyAlignment="1">
      <alignment horizontal="center" vertical="center"/>
    </xf>
    <xf numFmtId="0" fontId="42" fillId="3" borderId="0" xfId="0" applyFont="1" applyFill="1" applyAlignment="1">
      <alignment horizontal="center" vertical="center" wrapText="1"/>
    </xf>
    <xf numFmtId="164" fontId="76" fillId="3" borderId="0" xfId="0" applyNumberFormat="1" applyFont="1" applyFill="1" applyAlignment="1">
      <alignment horizontal="center" vertical="center"/>
    </xf>
    <xf numFmtId="0" fontId="13" fillId="3" borderId="0" xfId="0" applyFont="1" applyFill="1" applyAlignment="1" applyProtection="1">
      <alignment horizontal="center" vertical="center"/>
      <protection locked="0"/>
    </xf>
    <xf numFmtId="164" fontId="42" fillId="3" borderId="0" xfId="0" applyNumberFormat="1" applyFont="1" applyFill="1" applyAlignment="1">
      <alignment horizontal="center" vertical="center"/>
    </xf>
    <xf numFmtId="164" fontId="42" fillId="3" borderId="0" xfId="0" applyNumberFormat="1" applyFont="1" applyFill="1" applyAlignment="1" applyProtection="1">
      <alignment horizontal="center" vertical="center"/>
      <protection locked="0"/>
    </xf>
    <xf numFmtId="0" fontId="4" fillId="3" borderId="0" xfId="0" applyFont="1" applyFill="1" applyAlignment="1">
      <alignment horizontal="center" vertical="center"/>
    </xf>
    <xf numFmtId="0" fontId="12" fillId="3" borderId="0" xfId="0" applyFont="1" applyFill="1" applyAlignment="1">
      <alignment horizontal="center" vertical="center"/>
    </xf>
    <xf numFmtId="164" fontId="16" fillId="3" borderId="0" xfId="0" quotePrefix="1" applyNumberFormat="1" applyFont="1" applyFill="1" applyAlignment="1">
      <alignment horizontal="center" vertical="center"/>
    </xf>
    <xf numFmtId="0" fontId="81" fillId="18" borderId="0" xfId="0" applyFont="1" applyFill="1" applyAlignment="1">
      <alignment horizontal="center" vertical="center"/>
    </xf>
    <xf numFmtId="164" fontId="0" fillId="0" borderId="0" xfId="0" applyNumberFormat="1" applyAlignment="1">
      <alignment horizontal="center"/>
    </xf>
    <xf numFmtId="2" fontId="0" fillId="0" borderId="0" xfId="0" applyNumberFormat="1"/>
    <xf numFmtId="0" fontId="28" fillId="23" borderId="0" xfId="0" applyFont="1" applyFill="1" applyAlignment="1">
      <alignment horizontal="left" vertical="center"/>
    </xf>
    <xf numFmtId="0" fontId="2" fillId="18" borderId="0" xfId="0" applyFont="1" applyFill="1" applyAlignment="1">
      <alignment horizontal="right" vertical="center"/>
    </xf>
    <xf numFmtId="164" fontId="3" fillId="3" borderId="62" xfId="0" applyNumberFormat="1" applyFont="1" applyFill="1" applyBorder="1" applyAlignment="1">
      <alignment horizontal="center" vertical="center"/>
    </xf>
    <xf numFmtId="0" fontId="0" fillId="18" borderId="63" xfId="0" applyFill="1" applyBorder="1"/>
    <xf numFmtId="44" fontId="3" fillId="21" borderId="65" xfId="2" applyFont="1" applyFill="1" applyBorder="1" applyAlignment="1" applyProtection="1">
      <alignment horizontal="center" vertical="center"/>
    </xf>
    <xf numFmtId="44" fontId="3" fillId="3" borderId="64" xfId="2" applyFont="1" applyFill="1" applyBorder="1" applyAlignment="1" applyProtection="1">
      <alignment horizontal="center" vertical="center"/>
    </xf>
    <xf numFmtId="0" fontId="62" fillId="20" borderId="66" xfId="0" applyFont="1" applyFill="1" applyBorder="1" applyAlignment="1">
      <alignment horizontal="left" vertical="center"/>
    </xf>
    <xf numFmtId="0" fontId="7" fillId="20" borderId="67" xfId="0" applyFont="1" applyFill="1" applyBorder="1" applyAlignment="1">
      <alignment horizontal="center" vertical="center"/>
    </xf>
    <xf numFmtId="0" fontId="62" fillId="20" borderId="67" xfId="0" applyFont="1" applyFill="1" applyBorder="1" applyAlignment="1">
      <alignment horizontal="left" vertical="center"/>
    </xf>
    <xf numFmtId="0" fontId="0" fillId="20" borderId="67" xfId="0" applyFill="1" applyBorder="1" applyAlignment="1">
      <alignment vertical="center"/>
    </xf>
    <xf numFmtId="0" fontId="7" fillId="20" borderId="68" xfId="0" applyFont="1" applyFill="1" applyBorder="1" applyAlignment="1">
      <alignment horizontal="center" vertical="center"/>
    </xf>
    <xf numFmtId="0" fontId="3" fillId="3" borderId="63" xfId="0" applyFont="1" applyFill="1" applyBorder="1" applyAlignment="1">
      <alignment vertical="center"/>
    </xf>
    <xf numFmtId="0" fontId="3" fillId="18" borderId="63" xfId="0" applyFont="1" applyFill="1" applyBorder="1" applyAlignment="1">
      <alignment horizontal="left" vertical="center"/>
    </xf>
    <xf numFmtId="0" fontId="3" fillId="3" borderId="63" xfId="0" applyFont="1" applyFill="1" applyBorder="1" applyAlignment="1">
      <alignment horizontal="left" vertical="center"/>
    </xf>
    <xf numFmtId="0" fontId="0" fillId="3" borderId="71" xfId="0" applyFill="1" applyBorder="1" applyAlignment="1">
      <alignment vertical="center"/>
    </xf>
    <xf numFmtId="0" fontId="0" fillId="0" borderId="71" xfId="0" applyBorder="1"/>
    <xf numFmtId="0" fontId="3" fillId="3" borderId="69" xfId="0" applyFont="1" applyFill="1" applyBorder="1" applyAlignment="1">
      <alignment vertical="center"/>
    </xf>
    <xf numFmtId="0" fontId="3" fillId="18" borderId="69" xfId="0" applyFont="1" applyFill="1" applyBorder="1" applyAlignment="1">
      <alignment vertical="center"/>
    </xf>
    <xf numFmtId="1" fontId="4" fillId="3" borderId="71" xfId="0" applyNumberFormat="1" applyFont="1" applyFill="1" applyBorder="1" applyAlignment="1">
      <alignment horizontal="center" vertical="center"/>
    </xf>
    <xf numFmtId="0" fontId="0" fillId="3" borderId="72" xfId="0" applyFill="1" applyBorder="1" applyAlignment="1">
      <alignment vertical="center"/>
    </xf>
    <xf numFmtId="0" fontId="4" fillId="3" borderId="70" xfId="0" applyFont="1" applyFill="1" applyBorder="1" applyAlignment="1">
      <alignment vertical="center"/>
    </xf>
    <xf numFmtId="0" fontId="62" fillId="20" borderId="68" xfId="0" applyFont="1" applyFill="1" applyBorder="1" applyAlignment="1">
      <alignment horizontal="left" vertical="center"/>
    </xf>
    <xf numFmtId="0" fontId="49" fillId="3" borderId="63" xfId="0" applyFont="1" applyFill="1" applyBorder="1" applyAlignment="1">
      <alignment horizontal="right"/>
    </xf>
    <xf numFmtId="0" fontId="0" fillId="3" borderId="69" xfId="0" applyFill="1" applyBorder="1" applyAlignment="1">
      <alignment vertical="center"/>
    </xf>
    <xf numFmtId="0" fontId="3" fillId="24" borderId="63" xfId="0" applyFont="1" applyFill="1" applyBorder="1" applyAlignment="1">
      <alignment horizontal="left" vertical="center"/>
    </xf>
    <xf numFmtId="0" fontId="3" fillId="4" borderId="63" xfId="0" applyFont="1" applyFill="1" applyBorder="1" applyAlignment="1">
      <alignment horizontal="left" vertical="center"/>
    </xf>
    <xf numFmtId="0" fontId="3" fillId="3" borderId="70" xfId="0" applyFont="1" applyFill="1" applyBorder="1" applyAlignment="1">
      <alignment horizontal="left"/>
    </xf>
    <xf numFmtId="0" fontId="3" fillId="3" borderId="71" xfId="0" applyFont="1" applyFill="1" applyBorder="1" applyAlignment="1">
      <alignment horizontal="right"/>
    </xf>
    <xf numFmtId="1" fontId="48" fillId="27" borderId="73" xfId="0" applyNumberFormat="1" applyFont="1" applyFill="1" applyBorder="1" applyAlignment="1">
      <alignment horizontal="center" vertical="center"/>
    </xf>
    <xf numFmtId="1" fontId="72" fillId="26" borderId="74" xfId="0" applyNumberFormat="1" applyFont="1" applyFill="1" applyBorder="1" applyAlignment="1">
      <alignment horizontal="center" vertical="center"/>
    </xf>
    <xf numFmtId="0" fontId="9" fillId="23" borderId="0" xfId="0" applyFont="1" applyFill="1" applyAlignment="1">
      <alignment horizontal="left" vertical="center" wrapText="1"/>
    </xf>
    <xf numFmtId="164" fontId="2" fillId="23" borderId="0" xfId="0" applyNumberFormat="1" applyFont="1" applyFill="1" applyAlignment="1">
      <alignment horizontal="center" vertical="center" wrapText="1"/>
    </xf>
    <xf numFmtId="0" fontId="0" fillId="23" borderId="0" xfId="0" applyFill="1" applyAlignment="1">
      <alignment horizontal="center" vertical="center" wrapText="1"/>
    </xf>
    <xf numFmtId="0" fontId="15" fillId="23" borderId="0" xfId="0" applyFont="1" applyFill="1" applyAlignment="1">
      <alignment vertical="center"/>
    </xf>
    <xf numFmtId="0" fontId="79" fillId="23" borderId="0" xfId="0" applyFont="1" applyFill="1" applyAlignment="1">
      <alignment vertical="center"/>
    </xf>
    <xf numFmtId="0" fontId="3" fillId="23" borderId="0" xfId="0" applyFont="1" applyFill="1" applyAlignment="1">
      <alignment horizontal="center" vertical="center"/>
    </xf>
    <xf numFmtId="0" fontId="84" fillId="23" borderId="0" xfId="0" applyFont="1" applyFill="1" applyAlignment="1">
      <alignment vertical="center"/>
    </xf>
    <xf numFmtId="0" fontId="28" fillId="23" borderId="0" xfId="0" applyFont="1" applyFill="1" applyAlignment="1">
      <alignment vertical="center"/>
    </xf>
    <xf numFmtId="1" fontId="0" fillId="3" borderId="0" xfId="0" applyNumberFormat="1" applyFill="1"/>
    <xf numFmtId="1" fontId="3" fillId="21" borderId="24" xfId="0" applyNumberFormat="1" applyFont="1" applyFill="1" applyBorder="1" applyAlignment="1">
      <alignment horizontal="center" vertical="center"/>
    </xf>
    <xf numFmtId="1" fontId="3" fillId="3" borderId="28" xfId="0" applyNumberFormat="1" applyFont="1" applyFill="1" applyBorder="1" applyAlignment="1">
      <alignment horizontal="center" vertical="center"/>
    </xf>
    <xf numFmtId="1" fontId="4" fillId="18" borderId="26" xfId="0" applyNumberFormat="1" applyFont="1" applyFill="1" applyBorder="1" applyAlignment="1">
      <alignment horizontal="center" vertical="center"/>
    </xf>
    <xf numFmtId="164" fontId="9" fillId="3" borderId="0" xfId="0" applyNumberFormat="1" applyFont="1" applyFill="1" applyAlignment="1">
      <alignment horizontal="center" vertical="center"/>
    </xf>
    <xf numFmtId="0" fontId="85" fillId="23" borderId="0" xfId="0" applyFont="1" applyFill="1" applyAlignment="1">
      <alignment horizontal="left" vertical="center"/>
    </xf>
    <xf numFmtId="164" fontId="0" fillId="0" borderId="0" xfId="0" applyNumberFormat="1" applyAlignment="1">
      <alignment horizontal="left"/>
    </xf>
    <xf numFmtId="164" fontId="7" fillId="22" borderId="0" xfId="0" applyNumberFormat="1" applyFont="1" applyFill="1" applyAlignment="1">
      <alignment horizontal="center" vertical="center"/>
    </xf>
    <xf numFmtId="0" fontId="87" fillId="0" borderId="0" xfId="0" applyFont="1"/>
    <xf numFmtId="0" fontId="86" fillId="18" borderId="0" xfId="0" applyFont="1" applyFill="1" applyAlignment="1">
      <alignment horizontal="right"/>
    </xf>
    <xf numFmtId="164" fontId="88" fillId="18" borderId="0" xfId="0" applyNumberFormat="1" applyFont="1" applyFill="1" applyAlignment="1">
      <alignment horizontal="right"/>
    </xf>
    <xf numFmtId="0" fontId="87" fillId="0" borderId="0" xfId="0" quotePrefix="1" applyFont="1"/>
    <xf numFmtId="164" fontId="4" fillId="3" borderId="6" xfId="0" applyNumberFormat="1" applyFont="1" applyFill="1" applyBorder="1" applyAlignment="1">
      <alignment horizontal="center" vertical="center"/>
    </xf>
    <xf numFmtId="164" fontId="4" fillId="3" borderId="0" xfId="0" applyNumberFormat="1" applyFont="1" applyFill="1" applyAlignment="1">
      <alignment horizontal="center" vertical="center"/>
    </xf>
    <xf numFmtId="0" fontId="17" fillId="29" borderId="0" xfId="0" applyFont="1" applyFill="1" applyAlignment="1">
      <alignment horizontal="center"/>
    </xf>
    <xf numFmtId="0" fontId="17" fillId="18" borderId="0" xfId="0" applyFont="1" applyFill="1" applyAlignment="1">
      <alignment horizontal="center"/>
    </xf>
    <xf numFmtId="0" fontId="17" fillId="3" borderId="0" xfId="0" applyFont="1" applyFill="1" applyAlignment="1">
      <alignment horizontal="center"/>
    </xf>
    <xf numFmtId="0" fontId="2" fillId="28" borderId="0" xfId="0" applyFont="1" applyFill="1" applyAlignment="1">
      <alignment vertical="center"/>
    </xf>
    <xf numFmtId="0" fontId="13" fillId="28" borderId="0" xfId="0" applyFont="1" applyFill="1" applyAlignment="1">
      <alignment horizontal="center" vertical="center"/>
    </xf>
    <xf numFmtId="0" fontId="0" fillId="28" borderId="0" xfId="0" applyFill="1" applyAlignment="1">
      <alignment vertical="center"/>
    </xf>
    <xf numFmtId="0" fontId="0" fillId="28" borderId="0" xfId="0" applyFill="1" applyAlignment="1">
      <alignment horizontal="center" vertical="center"/>
    </xf>
    <xf numFmtId="0" fontId="13" fillId="28" borderId="0" xfId="0" applyFont="1" applyFill="1" applyAlignment="1">
      <alignment horizontal="center" vertical="center" wrapText="1"/>
    </xf>
    <xf numFmtId="0" fontId="62" fillId="22" borderId="0" xfId="0" applyFont="1" applyFill="1" applyAlignment="1">
      <alignment horizontal="center" vertical="center"/>
    </xf>
    <xf numFmtId="0" fontId="13" fillId="28" borderId="0" xfId="0" applyFont="1" applyFill="1" applyAlignment="1">
      <alignment vertical="center"/>
    </xf>
    <xf numFmtId="0" fontId="61" fillId="32" borderId="0" xfId="0" applyFont="1" applyFill="1" applyAlignment="1">
      <alignment vertical="center"/>
    </xf>
    <xf numFmtId="0" fontId="43" fillId="32" borderId="0" xfId="0" applyFont="1" applyFill="1" applyAlignment="1">
      <alignment horizontal="center" vertical="center"/>
    </xf>
    <xf numFmtId="1" fontId="77" fillId="32" borderId="0" xfId="0" quotePrefix="1" applyNumberFormat="1" applyFont="1" applyFill="1" applyAlignment="1">
      <alignment horizontal="center" vertical="center"/>
    </xf>
    <xf numFmtId="0" fontId="61" fillId="32" borderId="0" xfId="0" applyFont="1" applyFill="1" applyAlignment="1">
      <alignment horizontal="center" vertical="center"/>
    </xf>
    <xf numFmtId="0" fontId="6" fillId="32" borderId="0" xfId="0" applyFont="1" applyFill="1"/>
    <xf numFmtId="0" fontId="61" fillId="32" borderId="0" xfId="0" applyFont="1" applyFill="1" applyAlignment="1">
      <alignment horizontal="center"/>
    </xf>
    <xf numFmtId="0" fontId="61" fillId="32" borderId="0" xfId="0" applyFont="1" applyFill="1"/>
    <xf numFmtId="0" fontId="6" fillId="32" borderId="0" xfId="0" applyFont="1" applyFill="1" applyAlignment="1">
      <alignment vertical="center"/>
    </xf>
    <xf numFmtId="0" fontId="29" fillId="32" borderId="0" xfId="0" applyFont="1" applyFill="1" applyAlignment="1">
      <alignment horizontal="left" vertical="center"/>
    </xf>
    <xf numFmtId="0" fontId="0" fillId="32" borderId="0" xfId="0" applyFill="1" applyAlignment="1">
      <alignment horizontal="center" vertical="center"/>
    </xf>
    <xf numFmtId="0" fontId="42" fillId="32" borderId="0" xfId="0" applyFont="1" applyFill="1" applyAlignment="1">
      <alignment vertical="center"/>
    </xf>
    <xf numFmtId="0" fontId="78" fillId="32" borderId="0" xfId="0" applyFont="1" applyFill="1" applyAlignment="1">
      <alignment horizontal="left" vertical="center"/>
    </xf>
    <xf numFmtId="0" fontId="20" fillId="32" borderId="0" xfId="0" applyFont="1" applyFill="1" applyAlignment="1">
      <alignment horizontal="center" vertical="center"/>
    </xf>
    <xf numFmtId="0" fontId="42" fillId="32" borderId="0" xfId="0" applyFont="1" applyFill="1" applyAlignment="1">
      <alignment horizontal="center"/>
    </xf>
    <xf numFmtId="0" fontId="69" fillId="32" borderId="0" xfId="0" applyFont="1" applyFill="1" applyAlignment="1">
      <alignment vertical="center"/>
    </xf>
    <xf numFmtId="0" fontId="61" fillId="32" borderId="0" xfId="0" applyFont="1" applyFill="1" applyAlignment="1">
      <alignment horizontal="left" vertical="center"/>
    </xf>
    <xf numFmtId="1" fontId="43" fillId="32" borderId="0" xfId="0" applyNumberFormat="1" applyFont="1" applyFill="1" applyAlignment="1">
      <alignment horizontal="center" vertical="center"/>
    </xf>
    <xf numFmtId="164" fontId="63" fillId="32" borderId="0" xfId="0" applyNumberFormat="1" applyFont="1" applyFill="1" applyAlignment="1">
      <alignment horizontal="left" vertical="center"/>
    </xf>
    <xf numFmtId="0" fontId="9" fillId="32" borderId="0" xfId="0" applyFont="1" applyFill="1" applyAlignment="1">
      <alignment horizontal="center" vertical="center"/>
    </xf>
    <xf numFmtId="164" fontId="7" fillId="32" borderId="0" xfId="0" applyNumberFormat="1" applyFont="1" applyFill="1" applyAlignment="1">
      <alignment horizontal="center" vertical="center"/>
    </xf>
    <xf numFmtId="164" fontId="9" fillId="32" borderId="0" xfId="0" applyNumberFormat="1" applyFont="1" applyFill="1" applyAlignment="1">
      <alignment horizontal="center" vertical="center"/>
    </xf>
    <xf numFmtId="0" fontId="42" fillId="32" borderId="0" xfId="0" applyFont="1" applyFill="1" applyAlignment="1">
      <alignment horizontal="center" vertical="center"/>
    </xf>
    <xf numFmtId="1" fontId="13" fillId="3" borderId="0" xfId="0" applyNumberFormat="1" applyFont="1" applyFill="1" applyAlignment="1">
      <alignment horizontal="center" vertical="center"/>
    </xf>
    <xf numFmtId="0" fontId="9" fillId="3" borderId="0" xfId="0" quotePrefix="1" applyFont="1" applyFill="1" applyAlignment="1">
      <alignment horizontal="center" vertical="center"/>
    </xf>
    <xf numFmtId="1" fontId="9" fillId="3" borderId="0" xfId="0" applyNumberFormat="1" applyFont="1" applyFill="1" applyAlignment="1">
      <alignment horizontal="center" vertical="center"/>
    </xf>
    <xf numFmtId="0" fontId="37" fillId="32" borderId="0" xfId="0" applyFont="1" applyFill="1" applyAlignment="1">
      <alignment vertical="center"/>
    </xf>
    <xf numFmtId="0" fontId="37" fillId="32" borderId="0" xfId="0" applyFont="1" applyFill="1" applyAlignment="1">
      <alignment horizontal="center" vertical="center"/>
    </xf>
    <xf numFmtId="164" fontId="72" fillId="32" borderId="0" xfId="0" applyNumberFormat="1" applyFont="1" applyFill="1" applyAlignment="1">
      <alignment horizontal="center" vertical="center"/>
    </xf>
    <xf numFmtId="1" fontId="72" fillId="32" borderId="0" xfId="0" applyNumberFormat="1" applyFont="1" applyFill="1" applyAlignment="1">
      <alignment horizontal="center" vertical="center"/>
    </xf>
    <xf numFmtId="0" fontId="91" fillId="32" borderId="0" xfId="0" applyFont="1" applyFill="1" applyAlignment="1">
      <alignment horizontal="left" vertical="center"/>
    </xf>
    <xf numFmtId="0" fontId="2" fillId="3" borderId="0" xfId="0" applyFont="1" applyFill="1" applyAlignment="1">
      <alignment horizontal="left"/>
    </xf>
    <xf numFmtId="164" fontId="43" fillId="3" borderId="0" xfId="0" applyNumberFormat="1" applyFont="1" applyFill="1" applyAlignment="1">
      <alignment horizontal="center" vertical="center"/>
    </xf>
    <xf numFmtId="0" fontId="13" fillId="14" borderId="0" xfId="0" applyFont="1" applyFill="1" applyAlignment="1">
      <alignment horizontal="center" vertical="center"/>
    </xf>
    <xf numFmtId="164" fontId="13" fillId="14" borderId="0" xfId="0" applyNumberFormat="1" applyFont="1" applyFill="1" applyAlignment="1">
      <alignment horizontal="center" vertical="center"/>
    </xf>
    <xf numFmtId="164" fontId="43" fillId="32" borderId="0" xfId="0" applyNumberFormat="1" applyFont="1" applyFill="1" applyAlignment="1">
      <alignment horizontal="left" vertical="center"/>
    </xf>
    <xf numFmtId="44" fontId="9" fillId="3" borderId="0" xfId="2" applyFont="1" applyFill="1" applyBorder="1" applyAlignment="1" applyProtection="1">
      <alignment horizontal="center" vertical="center"/>
    </xf>
    <xf numFmtId="168" fontId="9" fillId="3" borderId="0" xfId="2" applyNumberFormat="1" applyFont="1" applyFill="1" applyBorder="1" applyAlignment="1" applyProtection="1">
      <alignment horizontal="center" vertical="center"/>
    </xf>
    <xf numFmtId="170" fontId="7" fillId="22" borderId="0" xfId="2" applyNumberFormat="1" applyFont="1" applyFill="1" applyBorder="1" applyAlignment="1" applyProtection="1">
      <alignment horizontal="center" vertical="center"/>
    </xf>
    <xf numFmtId="171" fontId="7" fillId="22" borderId="0" xfId="0" applyNumberFormat="1" applyFont="1" applyFill="1" applyAlignment="1">
      <alignment horizontal="right" vertical="center"/>
    </xf>
    <xf numFmtId="171" fontId="7" fillId="22" borderId="0" xfId="2" applyNumberFormat="1" applyFont="1" applyFill="1" applyBorder="1" applyAlignment="1" applyProtection="1">
      <alignment horizontal="right" vertical="center"/>
    </xf>
    <xf numFmtId="0" fontId="20" fillId="32" borderId="0" xfId="0" applyFont="1" applyFill="1" applyAlignment="1">
      <alignment horizontal="center"/>
    </xf>
    <xf numFmtId="0" fontId="8" fillId="23" borderId="0" xfId="0" applyFont="1" applyFill="1" applyAlignment="1">
      <alignment horizontal="left" vertical="top"/>
    </xf>
    <xf numFmtId="164" fontId="6" fillId="32" borderId="0" xfId="0" applyNumberFormat="1" applyFont="1" applyFill="1" applyAlignment="1">
      <alignment horizontal="center" vertical="center"/>
    </xf>
    <xf numFmtId="164" fontId="3" fillId="32" borderId="0" xfId="0" applyNumberFormat="1" applyFont="1" applyFill="1" applyAlignment="1">
      <alignment horizontal="center" vertical="center"/>
    </xf>
    <xf numFmtId="164" fontId="90" fillId="32" borderId="0" xfId="0" applyNumberFormat="1" applyFont="1" applyFill="1" applyAlignment="1">
      <alignment horizontal="left" vertical="center"/>
    </xf>
    <xf numFmtId="164" fontId="93" fillId="32" borderId="0" xfId="0" applyNumberFormat="1" applyFont="1" applyFill="1" applyAlignment="1">
      <alignment horizontal="center" vertical="center"/>
    </xf>
    <xf numFmtId="164" fontId="94" fillId="32" borderId="0" xfId="0" applyNumberFormat="1" applyFont="1" applyFill="1" applyAlignment="1">
      <alignment horizontal="center" vertical="center"/>
    </xf>
    <xf numFmtId="164" fontId="93" fillId="32" borderId="0" xfId="0" applyNumberFormat="1" applyFont="1" applyFill="1" applyAlignment="1">
      <alignment horizontal="right" vertical="center"/>
    </xf>
    <xf numFmtId="2" fontId="7" fillId="22" borderId="60" xfId="0" applyNumberFormat="1" applyFont="1" applyFill="1" applyBorder="1" applyAlignment="1">
      <alignment horizontal="center" vertical="center"/>
    </xf>
    <xf numFmtId="2" fontId="4" fillId="3" borderId="83" xfId="0" applyNumberFormat="1" applyFont="1" applyFill="1" applyBorder="1" applyAlignment="1">
      <alignment horizontal="center" vertical="center"/>
    </xf>
    <xf numFmtId="2" fontId="4" fillId="3" borderId="84" xfId="0" applyNumberFormat="1" applyFont="1" applyFill="1" applyBorder="1" applyAlignment="1">
      <alignment horizontal="center" vertical="center"/>
    </xf>
    <xf numFmtId="2" fontId="7" fillId="22" borderId="84" xfId="0" applyNumberFormat="1" applyFont="1" applyFill="1" applyBorder="1" applyAlignment="1">
      <alignment horizontal="center" vertical="center"/>
    </xf>
    <xf numFmtId="2" fontId="4" fillId="3" borderId="0" xfId="0" applyNumberFormat="1" applyFont="1" applyFill="1" applyAlignment="1">
      <alignment horizontal="center" vertical="center"/>
    </xf>
    <xf numFmtId="0" fontId="0" fillId="18" borderId="0" xfId="0" applyFill="1" applyAlignment="1">
      <alignment horizontal="left" vertical="center"/>
    </xf>
    <xf numFmtId="0" fontId="92" fillId="2" borderId="16" xfId="0" applyFont="1" applyFill="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13" fillId="23" borderId="0" xfId="0" applyFont="1" applyFill="1" applyAlignment="1">
      <alignment horizontal="center" vertical="center"/>
    </xf>
    <xf numFmtId="0" fontId="0" fillId="23" borderId="0" xfId="0" applyFill="1" applyAlignment="1">
      <alignment horizontal="center" vertical="center"/>
    </xf>
    <xf numFmtId="0" fontId="8" fillId="23" borderId="0" xfId="0" applyFont="1" applyFill="1" applyAlignment="1">
      <alignment horizontal="center" vertical="top"/>
    </xf>
    <xf numFmtId="0" fontId="57" fillId="23" borderId="0" xfId="0" applyFont="1" applyFill="1" applyAlignment="1">
      <alignment horizontal="center" vertical="center"/>
    </xf>
    <xf numFmtId="0" fontId="9" fillId="23" borderId="0" xfId="0" applyFont="1" applyFill="1" applyAlignment="1">
      <alignment horizontal="center" vertical="center"/>
    </xf>
    <xf numFmtId="0" fontId="9" fillId="23" borderId="0" xfId="0" applyFont="1" applyFill="1" applyAlignment="1">
      <alignment horizontal="left" vertical="center"/>
    </xf>
    <xf numFmtId="0" fontId="0" fillId="23" borderId="0" xfId="0" applyFill="1" applyAlignment="1">
      <alignment horizontal="left"/>
    </xf>
    <xf numFmtId="0" fontId="86" fillId="23" borderId="0" xfId="0" applyFont="1" applyFill="1" applyAlignment="1">
      <alignment horizontal="left" vertical="center"/>
    </xf>
    <xf numFmtId="0" fontId="33" fillId="18" borderId="0" xfId="0" applyFont="1" applyFill="1" applyAlignment="1">
      <alignment horizontal="center"/>
    </xf>
    <xf numFmtId="0" fontId="90" fillId="22" borderId="0" xfId="0" applyFont="1" applyFill="1" applyAlignment="1">
      <alignment horizontal="center" vertical="center"/>
    </xf>
    <xf numFmtId="14" fontId="0" fillId="3" borderId="0" xfId="0" applyNumberFormat="1" applyFill="1" applyAlignment="1">
      <alignment horizontal="center" vertical="center"/>
    </xf>
    <xf numFmtId="1" fontId="2" fillId="4" borderId="0" xfId="0" applyNumberFormat="1" applyFont="1" applyFill="1" applyAlignment="1">
      <alignment horizontal="left" vertical="center"/>
    </xf>
    <xf numFmtId="0" fontId="65" fillId="3" borderId="0" xfId="0" applyFont="1" applyFill="1" applyAlignment="1">
      <alignment vertical="center"/>
    </xf>
    <xf numFmtId="0" fontId="63" fillId="3" borderId="0" xfId="0" applyFont="1" applyFill="1" applyAlignment="1">
      <alignment vertical="center"/>
    </xf>
    <xf numFmtId="1" fontId="0" fillId="3" borderId="0" xfId="0" applyNumberFormat="1" applyFill="1" applyAlignment="1">
      <alignment horizontal="center" vertical="center"/>
    </xf>
    <xf numFmtId="1" fontId="0" fillId="4" borderId="0" xfId="0" applyNumberFormat="1" applyFill="1" applyAlignment="1">
      <alignment horizontal="center" vertical="center"/>
    </xf>
    <xf numFmtId="164" fontId="0" fillId="8" borderId="0" xfId="0" applyNumberFormat="1" applyFill="1" applyAlignment="1">
      <alignment horizontal="center" vertical="center"/>
    </xf>
    <xf numFmtId="1" fontId="4" fillId="3" borderId="6" xfId="0" applyNumberFormat="1" applyFont="1" applyFill="1" applyBorder="1" applyAlignment="1">
      <alignment horizontal="center" vertical="center"/>
    </xf>
    <xf numFmtId="0" fontId="2" fillId="20" borderId="0" xfId="0" applyFont="1" applyFill="1" applyAlignment="1">
      <alignment vertical="center"/>
    </xf>
    <xf numFmtId="164" fontId="2" fillId="3" borderId="6" xfId="0" applyNumberFormat="1" applyFont="1" applyFill="1" applyBorder="1" applyAlignment="1">
      <alignment horizontal="center" vertical="center"/>
    </xf>
    <xf numFmtId="1" fontId="4" fillId="3" borderId="6" xfId="0" applyNumberFormat="1" applyFont="1" applyFill="1" applyBorder="1" applyAlignment="1">
      <alignment horizontal="center" vertical="center" wrapText="1"/>
    </xf>
    <xf numFmtId="1" fontId="2" fillId="3" borderId="6" xfId="0" applyNumberFormat="1" applyFont="1" applyFill="1" applyBorder="1" applyAlignment="1">
      <alignment horizontal="center" vertical="center"/>
    </xf>
    <xf numFmtId="0" fontId="4" fillId="3" borderId="6" xfId="0" applyFont="1" applyFill="1" applyBorder="1" applyAlignment="1">
      <alignment horizontal="center" vertical="center"/>
    </xf>
    <xf numFmtId="0" fontId="4" fillId="3" borderId="6" xfId="0" quotePrefix="1" applyFont="1" applyFill="1" applyBorder="1" applyAlignment="1">
      <alignment horizontal="center" vertical="center"/>
    </xf>
    <xf numFmtId="164" fontId="4" fillId="3" borderId="6" xfId="1" applyNumberFormat="1" applyFont="1" applyFill="1" applyBorder="1" applyAlignment="1" applyProtection="1">
      <alignment horizontal="center" vertical="center" wrapText="1"/>
    </xf>
    <xf numFmtId="0" fontId="2" fillId="20" borderId="0" xfId="0" applyFont="1" applyFill="1" applyAlignment="1">
      <alignment horizontal="center" vertical="center"/>
    </xf>
    <xf numFmtId="44" fontId="2" fillId="3" borderId="6" xfId="2" applyFont="1" applyFill="1" applyBorder="1" applyAlignment="1" applyProtection="1">
      <alignment horizontal="center" vertical="center"/>
    </xf>
    <xf numFmtId="168" fontId="2" fillId="3" borderId="6" xfId="2" applyNumberFormat="1" applyFont="1" applyFill="1" applyBorder="1" applyAlignment="1" applyProtection="1">
      <alignment horizontal="center" vertical="center"/>
    </xf>
    <xf numFmtId="172" fontId="3" fillId="21" borderId="25" xfId="0" applyNumberFormat="1" applyFont="1" applyFill="1" applyBorder="1" applyAlignment="1">
      <alignment horizontal="center" vertical="center"/>
    </xf>
    <xf numFmtId="172" fontId="3" fillId="3" borderId="29" xfId="0" applyNumberFormat="1" applyFont="1" applyFill="1" applyBorder="1" applyAlignment="1">
      <alignment horizontal="center" vertical="center"/>
    </xf>
    <xf numFmtId="172" fontId="4" fillId="18" borderId="0" xfId="0" applyNumberFormat="1" applyFont="1" applyFill="1" applyAlignment="1">
      <alignment horizontal="center" vertical="center"/>
    </xf>
    <xf numFmtId="172" fontId="0" fillId="18" borderId="0" xfId="0" applyNumberFormat="1" applyFill="1" applyAlignment="1">
      <alignment vertical="center"/>
    </xf>
    <xf numFmtId="172" fontId="3" fillId="18" borderId="0" xfId="0" applyNumberFormat="1" applyFont="1" applyFill="1" applyAlignment="1">
      <alignment horizontal="center" vertical="center"/>
    </xf>
    <xf numFmtId="172" fontId="3" fillId="18" borderId="0" xfId="1" applyNumberFormat="1" applyFont="1" applyFill="1" applyBorder="1" applyAlignment="1" applyProtection="1">
      <alignment horizontal="center" vertical="center"/>
    </xf>
    <xf numFmtId="164" fontId="95" fillId="20" borderId="0" xfId="0" applyNumberFormat="1" applyFont="1" applyFill="1" applyAlignment="1">
      <alignment horizontal="center" vertical="center"/>
    </xf>
    <xf numFmtId="0" fontId="95" fillId="20" borderId="0" xfId="0" applyFont="1" applyFill="1" applyAlignment="1">
      <alignment horizontal="left" vertical="center"/>
    </xf>
    <xf numFmtId="14" fontId="4" fillId="3" borderId="0" xfId="0" applyNumberFormat="1" applyFont="1" applyFill="1" applyAlignment="1">
      <alignment horizontal="left" vertical="center"/>
    </xf>
    <xf numFmtId="0" fontId="2" fillId="28" borderId="0" xfId="0" applyFont="1" applyFill="1"/>
    <xf numFmtId="0" fontId="13" fillId="28" borderId="0" xfId="0" applyFont="1" applyFill="1" applyAlignment="1">
      <alignment horizontal="right"/>
    </xf>
    <xf numFmtId="0" fontId="13" fillId="18" borderId="0" xfId="0" applyFont="1" applyFill="1" applyAlignment="1">
      <alignment horizontal="center" vertical="center"/>
    </xf>
    <xf numFmtId="0" fontId="96" fillId="28" borderId="0" xfId="0" applyFont="1" applyFill="1" applyAlignment="1">
      <alignment horizontal="center"/>
    </xf>
    <xf numFmtId="14" fontId="9" fillId="6" borderId="6" xfId="0" applyNumberFormat="1" applyFont="1" applyFill="1" applyBorder="1" applyAlignment="1">
      <alignment horizontal="center" vertical="center"/>
    </xf>
    <xf numFmtId="0" fontId="0" fillId="32" borderId="0" xfId="0" applyFill="1"/>
    <xf numFmtId="0" fontId="82" fillId="32" borderId="0" xfId="0" applyFont="1" applyFill="1" applyAlignment="1">
      <alignment horizontal="center" vertical="center"/>
    </xf>
    <xf numFmtId="0" fontId="0" fillId="32" borderId="0" xfId="0" applyFill="1" applyAlignment="1">
      <alignment horizontal="center"/>
    </xf>
    <xf numFmtId="0" fontId="80" fillId="28" borderId="0" xfId="0" quotePrefix="1" applyFont="1" applyFill="1" applyAlignment="1">
      <alignment horizontal="left" vertical="center"/>
    </xf>
    <xf numFmtId="0" fontId="16" fillId="18" borderId="0" xfId="0" applyFont="1" applyFill="1" applyAlignment="1">
      <alignment vertical="center"/>
    </xf>
    <xf numFmtId="164" fontId="2" fillId="3" borderId="0" xfId="0" applyNumberFormat="1" applyFont="1" applyFill="1" applyAlignment="1">
      <alignment horizontal="center" vertical="center"/>
    </xf>
    <xf numFmtId="164" fontId="43" fillId="22" borderId="0" xfId="0" applyNumberFormat="1" applyFont="1" applyFill="1" applyAlignment="1">
      <alignment horizontal="center" vertical="center"/>
    </xf>
    <xf numFmtId="0" fontId="9" fillId="4" borderId="0" xfId="0" applyFont="1" applyFill="1" applyAlignment="1">
      <alignment horizontal="left" vertical="center"/>
    </xf>
    <xf numFmtId="0" fontId="9" fillId="3" borderId="0" xfId="0" applyFont="1" applyFill="1" applyAlignment="1">
      <alignment horizontal="left"/>
    </xf>
    <xf numFmtId="1" fontId="9" fillId="21" borderId="85" xfId="2" applyNumberFormat="1" applyFont="1" applyFill="1" applyBorder="1" applyAlignment="1" applyProtection="1">
      <alignment horizontal="center" vertical="center"/>
      <protection locked="0"/>
    </xf>
    <xf numFmtId="164" fontId="9" fillId="21" borderId="85" xfId="2" applyNumberFormat="1" applyFont="1" applyFill="1" applyBorder="1" applyAlignment="1" applyProtection="1">
      <alignment horizontal="center" vertical="center"/>
      <protection locked="0"/>
    </xf>
    <xf numFmtId="0" fontId="26" fillId="0" borderId="0" xfId="0" applyFont="1" applyAlignment="1">
      <alignment horizontal="left" vertical="center"/>
    </xf>
    <xf numFmtId="0" fontId="42" fillId="3" borderId="94" xfId="0" applyFont="1" applyFill="1" applyBorder="1" applyAlignment="1">
      <alignment vertical="center"/>
    </xf>
    <xf numFmtId="0" fontId="0" fillId="3" borderId="94" xfId="0" applyFill="1" applyBorder="1" applyAlignment="1">
      <alignment horizontal="center" vertical="center"/>
    </xf>
    <xf numFmtId="0" fontId="4" fillId="3" borderId="94" xfId="0" applyFont="1" applyFill="1" applyBorder="1"/>
    <xf numFmtId="0" fontId="13" fillId="3" borderId="87" xfId="0" applyFont="1" applyFill="1" applyBorder="1" applyAlignment="1">
      <alignment horizontal="center" vertical="center"/>
    </xf>
    <xf numFmtId="0" fontId="75" fillId="3" borderId="88" xfId="0" applyFont="1" applyFill="1" applyBorder="1" applyAlignment="1">
      <alignment horizontal="center" vertical="center"/>
    </xf>
    <xf numFmtId="0" fontId="42" fillId="3" borderId="95" xfId="0" applyFont="1" applyFill="1" applyBorder="1" applyAlignment="1">
      <alignment vertical="center"/>
    </xf>
    <xf numFmtId="164" fontId="9" fillId="28" borderId="97" xfId="2" applyNumberFormat="1" applyFont="1" applyFill="1" applyBorder="1" applyAlignment="1" applyProtection="1">
      <alignment horizontal="center" vertical="center"/>
      <protection locked="0"/>
    </xf>
    <xf numFmtId="0" fontId="0" fillId="3" borderId="95" xfId="0" applyFill="1" applyBorder="1" applyAlignment="1">
      <alignment horizontal="center" vertical="center"/>
    </xf>
    <xf numFmtId="0" fontId="4" fillId="3" borderId="95" xfId="0" applyFont="1" applyFill="1" applyBorder="1"/>
    <xf numFmtId="0" fontId="13" fillId="3" borderId="95" xfId="0" applyFont="1" applyFill="1" applyBorder="1" applyAlignment="1">
      <alignment horizontal="center" vertical="center"/>
    </xf>
    <xf numFmtId="0" fontId="13" fillId="3" borderId="89" xfId="0" applyFont="1" applyFill="1" applyBorder="1" applyAlignment="1">
      <alignment horizontal="center" vertical="center"/>
    </xf>
    <xf numFmtId="164" fontId="9" fillId="3" borderId="0" xfId="2" applyNumberFormat="1" applyFont="1" applyFill="1" applyBorder="1" applyAlignment="1" applyProtection="1">
      <alignment horizontal="center" vertical="center"/>
      <protection locked="0"/>
    </xf>
    <xf numFmtId="1" fontId="9" fillId="2" borderId="85" xfId="2" applyNumberFormat="1" applyFont="1" applyFill="1" applyBorder="1" applyAlignment="1" applyProtection="1">
      <alignment horizontal="center" vertical="center"/>
      <protection locked="0"/>
    </xf>
    <xf numFmtId="164" fontId="9" fillId="2" borderId="85" xfId="2" applyNumberFormat="1" applyFont="1" applyFill="1" applyBorder="1" applyAlignment="1" applyProtection="1">
      <alignment horizontal="center" vertical="center"/>
      <protection locked="0"/>
    </xf>
    <xf numFmtId="0" fontId="26" fillId="3" borderId="0" xfId="0" applyFont="1" applyFill="1" applyAlignment="1">
      <alignment horizontal="left" vertical="center"/>
    </xf>
    <xf numFmtId="164" fontId="9" fillId="31" borderId="85" xfId="2" applyNumberFormat="1" applyFont="1" applyFill="1" applyBorder="1" applyAlignment="1" applyProtection="1">
      <alignment horizontal="center" vertical="center"/>
    </xf>
    <xf numFmtId="164" fontId="9" fillId="6" borderId="85" xfId="0" applyNumberFormat="1" applyFont="1" applyFill="1" applyBorder="1" applyAlignment="1">
      <alignment horizontal="center" vertical="center"/>
    </xf>
    <xf numFmtId="0" fontId="0" fillId="3" borderId="94" xfId="0" applyFill="1" applyBorder="1" applyAlignment="1">
      <alignment horizontal="center"/>
    </xf>
    <xf numFmtId="0" fontId="26" fillId="3" borderId="94" xfId="0" applyFont="1" applyFill="1" applyBorder="1" applyAlignment="1">
      <alignment vertical="center"/>
    </xf>
    <xf numFmtId="164" fontId="39" fillId="3" borderId="87" xfId="0" quotePrefix="1" applyNumberFormat="1" applyFont="1" applyFill="1" applyBorder="1" applyAlignment="1">
      <alignment horizontal="center"/>
    </xf>
    <xf numFmtId="0" fontId="9" fillId="4" borderId="98" xfId="0" applyFont="1" applyFill="1" applyBorder="1" applyAlignment="1">
      <alignment horizontal="left" vertical="center"/>
    </xf>
    <xf numFmtId="164" fontId="39" fillId="3" borderId="99" xfId="0" quotePrefix="1" applyNumberFormat="1" applyFont="1" applyFill="1" applyBorder="1" applyAlignment="1">
      <alignment horizontal="center"/>
    </xf>
    <xf numFmtId="0" fontId="9" fillId="3" borderId="98" xfId="0" applyFont="1" applyFill="1" applyBorder="1" applyAlignment="1">
      <alignment horizontal="left" vertical="center"/>
    </xf>
    <xf numFmtId="0" fontId="3" fillId="3" borderId="88" xfId="0" applyFont="1" applyFill="1" applyBorder="1" applyAlignment="1">
      <alignment horizontal="center"/>
    </xf>
    <xf numFmtId="0" fontId="3" fillId="3" borderId="95" xfId="0" applyFont="1" applyFill="1" applyBorder="1" applyAlignment="1">
      <alignment horizontal="center"/>
    </xf>
    <xf numFmtId="0" fontId="0" fillId="3" borderId="95" xfId="0" applyFill="1" applyBorder="1" applyAlignment="1">
      <alignment horizontal="center"/>
    </xf>
    <xf numFmtId="164" fontId="44" fillId="3" borderId="95" xfId="0" quotePrefix="1" applyNumberFormat="1" applyFont="1" applyFill="1" applyBorder="1" applyAlignment="1">
      <alignment horizontal="center"/>
    </xf>
    <xf numFmtId="164" fontId="39" fillId="3" borderId="95" xfId="0" quotePrefix="1" applyNumberFormat="1" applyFont="1" applyFill="1" applyBorder="1" applyAlignment="1">
      <alignment horizontal="center"/>
    </xf>
    <xf numFmtId="164" fontId="39" fillId="3" borderId="89" xfId="0" quotePrefix="1" applyNumberFormat="1" applyFont="1" applyFill="1" applyBorder="1" applyAlignment="1">
      <alignment horizontal="center"/>
    </xf>
    <xf numFmtId="0" fontId="29" fillId="3" borderId="94" xfId="0" applyFont="1" applyFill="1" applyBorder="1" applyAlignment="1">
      <alignment horizontal="left" vertical="center"/>
    </xf>
    <xf numFmtId="164" fontId="36" fillId="3" borderId="94" xfId="0" quotePrefix="1" applyNumberFormat="1" applyFont="1" applyFill="1" applyBorder="1" applyAlignment="1">
      <alignment horizontal="center" vertical="center"/>
    </xf>
    <xf numFmtId="164" fontId="2" fillId="3" borderId="94" xfId="0" applyNumberFormat="1" applyFont="1" applyFill="1" applyBorder="1" applyAlignment="1">
      <alignment horizontal="center" vertical="center"/>
    </xf>
    <xf numFmtId="0" fontId="0" fillId="3" borderId="87" xfId="0" applyFill="1" applyBorder="1" applyAlignment="1">
      <alignment horizontal="center"/>
    </xf>
    <xf numFmtId="0" fontId="9" fillId="3" borderId="98" xfId="0" applyFont="1" applyFill="1" applyBorder="1" applyAlignment="1">
      <alignment horizontal="right" vertical="center"/>
    </xf>
    <xf numFmtId="0" fontId="0" fillId="3" borderId="99" xfId="0" applyFill="1" applyBorder="1" applyAlignment="1">
      <alignment horizontal="center"/>
    </xf>
    <xf numFmtId="0" fontId="26" fillId="0" borderId="98" xfId="0" applyFont="1" applyBorder="1" applyAlignment="1">
      <alignment vertical="center"/>
    </xf>
    <xf numFmtId="0" fontId="9" fillId="3" borderId="88" xfId="0" applyFont="1" applyFill="1" applyBorder="1" applyAlignment="1">
      <alignment horizontal="right" vertical="center"/>
    </xf>
    <xf numFmtId="0" fontId="9" fillId="3" borderId="95" xfId="0" applyFont="1" applyFill="1" applyBorder="1" applyAlignment="1">
      <alignment horizontal="right" vertical="center"/>
    </xf>
    <xf numFmtId="0" fontId="26" fillId="3" borderId="95" xfId="0" applyFont="1" applyFill="1" applyBorder="1" applyAlignment="1">
      <alignment vertical="center"/>
    </xf>
    <xf numFmtId="0" fontId="0" fillId="3" borderId="89" xfId="0" applyFill="1" applyBorder="1" applyAlignment="1">
      <alignment horizontal="center"/>
    </xf>
    <xf numFmtId="0" fontId="42" fillId="3" borderId="88" xfId="0" applyFont="1" applyFill="1" applyBorder="1" applyAlignment="1">
      <alignment horizontal="center" vertical="center"/>
    </xf>
    <xf numFmtId="0" fontId="42" fillId="3" borderId="100" xfId="0" applyFont="1" applyFill="1" applyBorder="1" applyAlignment="1">
      <alignment horizontal="center" vertical="center"/>
    </xf>
    <xf numFmtId="0" fontId="42" fillId="3" borderId="100" xfId="0" applyFont="1" applyFill="1" applyBorder="1" applyAlignment="1">
      <alignment vertical="center"/>
    </xf>
    <xf numFmtId="164" fontId="9" fillId="30" borderId="96" xfId="2" applyNumberFormat="1" applyFont="1" applyFill="1" applyBorder="1" applyAlignment="1" applyProtection="1">
      <alignment horizontal="center" vertical="center"/>
      <protection locked="0"/>
    </xf>
    <xf numFmtId="1" fontId="76" fillId="3" borderId="94" xfId="0" applyNumberFormat="1" applyFont="1" applyFill="1" applyBorder="1" applyAlignment="1">
      <alignment horizontal="center" vertical="center"/>
    </xf>
    <xf numFmtId="0" fontId="0" fillId="0" borderId="94" xfId="0" applyBorder="1"/>
    <xf numFmtId="164" fontId="42" fillId="3" borderId="88" xfId="0" applyNumberFormat="1" applyFont="1" applyFill="1" applyBorder="1" applyAlignment="1">
      <alignment horizontal="center" vertical="center"/>
    </xf>
    <xf numFmtId="164" fontId="9" fillId="28" borderId="96" xfId="2" applyNumberFormat="1" applyFont="1" applyFill="1" applyBorder="1" applyAlignment="1" applyProtection="1">
      <alignment horizontal="center" vertical="center"/>
      <protection locked="0"/>
    </xf>
    <xf numFmtId="0" fontId="42" fillId="3" borderId="88" xfId="0" applyFont="1" applyFill="1" applyBorder="1" applyAlignment="1">
      <alignment horizontal="center"/>
    </xf>
    <xf numFmtId="0" fontId="42" fillId="3" borderId="95" xfId="0" applyFont="1" applyFill="1" applyBorder="1" applyAlignment="1">
      <alignment horizontal="center"/>
    </xf>
    <xf numFmtId="0" fontId="42" fillId="3" borderId="98" xfId="0" applyFont="1" applyFill="1" applyBorder="1" applyAlignment="1">
      <alignment vertical="center"/>
    </xf>
    <xf numFmtId="0" fontId="42" fillId="3" borderId="98" xfId="0" applyFont="1" applyFill="1" applyBorder="1" applyAlignment="1">
      <alignment horizontal="center" vertical="center"/>
    </xf>
    <xf numFmtId="0" fontId="26" fillId="3" borderId="94" xfId="0" applyFont="1" applyFill="1" applyBorder="1" applyAlignment="1">
      <alignment horizontal="center" vertical="center"/>
    </xf>
    <xf numFmtId="0" fontId="13" fillId="3" borderId="94" xfId="0" applyFont="1" applyFill="1" applyBorder="1" applyAlignment="1">
      <alignment horizontal="center" vertical="center"/>
    </xf>
    <xf numFmtId="0" fontId="0" fillId="3" borderId="98" xfId="0" applyFill="1" applyBorder="1"/>
    <xf numFmtId="0" fontId="13" fillId="3" borderId="99" xfId="0" applyFont="1" applyFill="1" applyBorder="1" applyAlignment="1">
      <alignment horizontal="center" vertical="center"/>
    </xf>
    <xf numFmtId="0" fontId="9" fillId="14" borderId="98" xfId="0" applyFont="1" applyFill="1" applyBorder="1" applyAlignment="1">
      <alignment horizontal="center" vertical="center"/>
    </xf>
    <xf numFmtId="0" fontId="9" fillId="3" borderId="98" xfId="0" applyFont="1" applyFill="1" applyBorder="1" applyAlignment="1">
      <alignment horizontal="left"/>
    </xf>
    <xf numFmtId="0" fontId="13" fillId="3" borderId="98" xfId="0" applyFont="1" applyFill="1" applyBorder="1" applyAlignment="1">
      <alignment horizontal="center" vertical="center"/>
    </xf>
    <xf numFmtId="0" fontId="13" fillId="3" borderId="98" xfId="0" applyFont="1" applyFill="1" applyBorder="1"/>
    <xf numFmtId="0" fontId="9" fillId="3" borderId="98" xfId="0" applyFont="1" applyFill="1" applyBorder="1" applyAlignment="1">
      <alignment horizontal="center" vertical="center"/>
    </xf>
    <xf numFmtId="0" fontId="42" fillId="3" borderId="98" xfId="0" applyFont="1" applyFill="1" applyBorder="1" applyAlignment="1">
      <alignment horizontal="center" vertical="center" wrapText="1"/>
    </xf>
    <xf numFmtId="0" fontId="0" fillId="3" borderId="88" xfId="0" applyFill="1" applyBorder="1" applyAlignment="1">
      <alignment horizontal="center"/>
    </xf>
    <xf numFmtId="168" fontId="9" fillId="28" borderId="101" xfId="2" applyNumberFormat="1" applyFont="1" applyFill="1" applyBorder="1" applyAlignment="1" applyProtection="1">
      <alignment horizontal="center" vertical="center"/>
      <protection locked="0"/>
    </xf>
    <xf numFmtId="0" fontId="4" fillId="3" borderId="89" xfId="0" applyFont="1" applyFill="1" applyBorder="1" applyAlignment="1">
      <alignment horizontal="center" vertical="center"/>
    </xf>
    <xf numFmtId="0" fontId="4" fillId="3" borderId="89" xfId="0" applyFont="1" applyFill="1" applyBorder="1"/>
    <xf numFmtId="0" fontId="0" fillId="3" borderId="89" xfId="0" applyFill="1" applyBorder="1" applyAlignment="1">
      <alignment horizontal="center" vertical="center"/>
    </xf>
    <xf numFmtId="164" fontId="4" fillId="18" borderId="0" xfId="0" applyNumberFormat="1" applyFont="1" applyFill="1" applyAlignment="1">
      <alignment horizontal="left" vertical="center"/>
    </xf>
    <xf numFmtId="164" fontId="90" fillId="32" borderId="0" xfId="0" applyNumberFormat="1" applyFont="1" applyFill="1" applyAlignment="1">
      <alignment horizontal="center" vertical="center"/>
    </xf>
    <xf numFmtId="164" fontId="7" fillId="32" borderId="0" xfId="0" applyNumberFormat="1" applyFont="1" applyFill="1" applyAlignment="1">
      <alignment horizontal="left" vertical="center"/>
    </xf>
    <xf numFmtId="1" fontId="90" fillId="32" borderId="0" xfId="0" applyNumberFormat="1" applyFont="1" applyFill="1" applyAlignment="1">
      <alignment horizontal="center" vertical="center"/>
    </xf>
    <xf numFmtId="2" fontId="7" fillId="22" borderId="0" xfId="0" applyNumberFormat="1" applyFont="1" applyFill="1" applyAlignment="1">
      <alignment horizontal="center" vertical="center"/>
    </xf>
    <xf numFmtId="164" fontId="13" fillId="11" borderId="91" xfId="0" applyNumberFormat="1" applyFont="1" applyFill="1" applyBorder="1" applyAlignment="1">
      <alignment horizontal="center" vertical="center"/>
    </xf>
    <xf numFmtId="0" fontId="9" fillId="14" borderId="0" xfId="0" applyFont="1" applyFill="1" applyAlignment="1">
      <alignment horizontal="center" vertical="center"/>
    </xf>
    <xf numFmtId="0" fontId="13" fillId="3" borderId="0" xfId="0" applyFont="1" applyFill="1" applyAlignment="1">
      <alignment horizontal="right" vertical="center" wrapText="1"/>
    </xf>
    <xf numFmtId="164" fontId="9" fillId="2" borderId="59" xfId="2" applyNumberFormat="1" applyFont="1" applyFill="1" applyBorder="1" applyAlignment="1" applyProtection="1">
      <alignment horizontal="center" vertical="center"/>
    </xf>
    <xf numFmtId="164" fontId="9" fillId="2" borderId="79" xfId="2" applyNumberFormat="1" applyFont="1" applyFill="1" applyBorder="1" applyAlignment="1" applyProtection="1">
      <alignment horizontal="center" vertical="center"/>
    </xf>
    <xf numFmtId="164" fontId="9" fillId="6" borderId="75" xfId="0" applyNumberFormat="1" applyFont="1" applyFill="1" applyBorder="1" applyAlignment="1">
      <alignment horizontal="center" vertical="center"/>
    </xf>
    <xf numFmtId="164" fontId="9" fillId="6" borderId="76" xfId="0" applyNumberFormat="1" applyFont="1" applyFill="1" applyBorder="1" applyAlignment="1">
      <alignment horizontal="center" vertical="center"/>
    </xf>
    <xf numFmtId="164" fontId="9" fillId="21" borderId="77" xfId="2" applyNumberFormat="1" applyFont="1" applyFill="1" applyBorder="1" applyAlignment="1" applyProtection="1">
      <alignment horizontal="center" vertical="center"/>
    </xf>
    <xf numFmtId="164" fontId="9" fillId="21" borderId="78" xfId="2" applyNumberFormat="1" applyFont="1" applyFill="1" applyBorder="1" applyAlignment="1" applyProtection="1">
      <alignment horizontal="center" vertical="center"/>
    </xf>
    <xf numFmtId="0" fontId="9" fillId="3" borderId="0" xfId="0" applyFont="1" applyFill="1" applyAlignment="1">
      <alignment horizontal="left" vertical="center"/>
    </xf>
    <xf numFmtId="164" fontId="13" fillId="3" borderId="0" xfId="0" applyNumberFormat="1" applyFont="1" applyFill="1" applyAlignment="1">
      <alignment horizontal="center" vertical="center"/>
    </xf>
    <xf numFmtId="0" fontId="9" fillId="3" borderId="0" xfId="0" applyFont="1" applyFill="1" applyAlignment="1">
      <alignment horizontal="right" vertical="center"/>
    </xf>
    <xf numFmtId="14" fontId="9" fillId="2" borderId="85" xfId="2" applyNumberFormat="1" applyFont="1" applyFill="1" applyBorder="1" applyAlignment="1" applyProtection="1">
      <alignment horizontal="center" vertical="center"/>
      <protection locked="0"/>
    </xf>
    <xf numFmtId="0" fontId="20" fillId="32" borderId="0" xfId="0" applyFont="1" applyFill="1" applyAlignment="1">
      <alignment horizontal="right"/>
    </xf>
    <xf numFmtId="0" fontId="4" fillId="4" borderId="0" xfId="0" applyFont="1" applyFill="1" applyAlignment="1">
      <alignment horizontal="right" vertical="center"/>
    </xf>
    <xf numFmtId="0" fontId="2" fillId="4" borderId="0" xfId="0" applyFont="1" applyFill="1" applyAlignment="1">
      <alignment horizontal="right" vertical="center"/>
    </xf>
    <xf numFmtId="0" fontId="4" fillId="3" borderId="0" xfId="0" applyFont="1" applyFill="1" applyAlignment="1">
      <alignment horizontal="right" vertical="center"/>
    </xf>
    <xf numFmtId="0" fontId="2" fillId="3" borderId="0" xfId="0" applyFont="1" applyFill="1" applyAlignment="1">
      <alignment horizontal="right" vertical="center"/>
    </xf>
    <xf numFmtId="164" fontId="13" fillId="11" borderId="85" xfId="0" applyNumberFormat="1" applyFont="1" applyFill="1" applyBorder="1" applyAlignment="1">
      <alignment horizontal="center" vertical="center"/>
    </xf>
    <xf numFmtId="1" fontId="9" fillId="11" borderId="85" xfId="2" applyNumberFormat="1" applyFont="1" applyFill="1" applyBorder="1" applyAlignment="1" applyProtection="1">
      <alignment horizontal="center" vertical="center"/>
      <protection locked="0"/>
    </xf>
    <xf numFmtId="14" fontId="9" fillId="11" borderId="91" xfId="2" applyNumberFormat="1" applyFont="1" applyFill="1" applyBorder="1" applyAlignment="1" applyProtection="1">
      <alignment horizontal="center" vertical="center"/>
      <protection locked="0"/>
    </xf>
    <xf numFmtId="14" fontId="9" fillId="11" borderId="85" xfId="0" applyNumberFormat="1" applyFont="1" applyFill="1" applyBorder="1" applyAlignment="1">
      <alignment horizontal="center" vertical="center"/>
    </xf>
    <xf numFmtId="0" fontId="95" fillId="20" borderId="0" xfId="0" applyFont="1" applyFill="1" applyAlignment="1">
      <alignment horizontal="center" vertical="center"/>
    </xf>
    <xf numFmtId="0" fontId="2" fillId="14" borderId="0" xfId="0" applyFont="1" applyFill="1" applyAlignment="1">
      <alignment horizontal="left" vertical="center"/>
    </xf>
    <xf numFmtId="0" fontId="2" fillId="14" borderId="0" xfId="0" applyFont="1" applyFill="1" applyAlignment="1">
      <alignment horizontal="center" vertical="center"/>
    </xf>
    <xf numFmtId="0" fontId="0" fillId="9" borderId="0" xfId="0" applyFill="1" applyAlignment="1">
      <alignment horizontal="left" vertical="center"/>
    </xf>
    <xf numFmtId="164" fontId="9" fillId="31" borderId="96" xfId="2" applyNumberFormat="1" applyFont="1" applyFill="1" applyBorder="1" applyAlignment="1" applyProtection="1">
      <alignment horizontal="center" vertical="center"/>
    </xf>
    <xf numFmtId="164" fontId="9" fillId="6" borderId="85" xfId="2" applyNumberFormat="1" applyFont="1" applyFill="1" applyBorder="1" applyAlignment="1" applyProtection="1">
      <alignment horizontal="center" vertical="center"/>
    </xf>
    <xf numFmtId="2" fontId="0" fillId="4" borderId="0" xfId="0" applyNumberFormat="1" applyFill="1" applyAlignment="1">
      <alignment horizontal="center" vertical="center"/>
    </xf>
    <xf numFmtId="14" fontId="2" fillId="3" borderId="0" xfId="0" applyNumberFormat="1" applyFont="1" applyFill="1" applyAlignment="1">
      <alignment horizontal="center" vertical="center"/>
    </xf>
    <xf numFmtId="0" fontId="7" fillId="3" borderId="0" xfId="0" applyFont="1" applyFill="1" applyAlignment="1">
      <alignment horizontal="left" vertical="center"/>
    </xf>
    <xf numFmtId="0" fontId="6" fillId="3" borderId="0" xfId="0" applyFont="1" applyFill="1" applyAlignment="1">
      <alignment vertical="center"/>
    </xf>
    <xf numFmtId="0" fontId="2" fillId="9" borderId="0" xfId="0" applyFont="1" applyFill="1" applyAlignment="1">
      <alignment horizontal="left" vertical="center"/>
    </xf>
    <xf numFmtId="164" fontId="0" fillId="9" borderId="0" xfId="0" applyNumberFormat="1" applyFill="1" applyAlignment="1">
      <alignment horizontal="center" vertical="center"/>
    </xf>
    <xf numFmtId="0" fontId="2" fillId="3" borderId="0" xfId="0" applyFont="1" applyFill="1"/>
    <xf numFmtId="0" fontId="0" fillId="32" borderId="5" xfId="0" applyFill="1" applyBorder="1"/>
    <xf numFmtId="0" fontId="0" fillId="32" borderId="7" xfId="0" applyFill="1" applyBorder="1"/>
    <xf numFmtId="0" fontId="62" fillId="32" borderId="7" xfId="0" applyFont="1" applyFill="1" applyBorder="1" applyAlignment="1">
      <alignment horizontal="center" vertical="center"/>
    </xf>
    <xf numFmtId="0" fontId="0" fillId="32" borderId="7" xfId="0" applyFill="1" applyBorder="1" applyAlignment="1">
      <alignment horizontal="center"/>
    </xf>
    <xf numFmtId="0" fontId="62" fillId="32" borderId="9" xfId="0" applyFont="1" applyFill="1" applyBorder="1" applyAlignment="1">
      <alignment horizontal="left" vertical="center"/>
    </xf>
    <xf numFmtId="0" fontId="0" fillId="4" borderId="1" xfId="0" applyFill="1" applyBorder="1"/>
    <xf numFmtId="164" fontId="9" fillId="21" borderId="102" xfId="2" applyNumberFormat="1" applyFont="1" applyFill="1" applyBorder="1" applyAlignment="1" applyProtection="1">
      <alignment horizontal="center" vertical="center"/>
      <protection locked="0"/>
    </xf>
    <xf numFmtId="14" fontId="9" fillId="2" borderId="102" xfId="2" applyNumberFormat="1" applyFont="1" applyFill="1" applyBorder="1" applyAlignment="1" applyProtection="1">
      <alignment horizontal="center" vertical="center"/>
      <protection locked="0"/>
    </xf>
    <xf numFmtId="0" fontId="80" fillId="3" borderId="102" xfId="0" applyFont="1" applyFill="1" applyBorder="1" applyAlignment="1">
      <alignment horizontal="center" vertical="top"/>
    </xf>
    <xf numFmtId="0" fontId="0" fillId="0" borderId="0" xfId="0" applyProtection="1">
      <protection locked="0"/>
    </xf>
    <xf numFmtId="0" fontId="0" fillId="0" borderId="0" xfId="0" applyAlignment="1" applyProtection="1">
      <alignment horizontal="center"/>
      <protection locked="0"/>
    </xf>
    <xf numFmtId="0" fontId="2" fillId="0" borderId="0" xfId="0" applyFont="1" applyAlignment="1">
      <alignment horizontal="center"/>
    </xf>
    <xf numFmtId="0" fontId="22" fillId="4" borderId="0" xfId="0" applyFont="1" applyFill="1" applyAlignment="1">
      <alignment horizontal="center"/>
    </xf>
    <xf numFmtId="0" fontId="22" fillId="4" borderId="0" xfId="0" applyFont="1" applyFill="1"/>
    <xf numFmtId="0" fontId="40" fillId="3" borderId="0" xfId="0" applyFont="1" applyFill="1" applyAlignment="1">
      <alignment horizontal="right" vertical="center"/>
    </xf>
    <xf numFmtId="0" fontId="40" fillId="3" borderId="0" xfId="0" applyFont="1" applyFill="1" applyAlignment="1">
      <alignment horizontal="center"/>
    </xf>
    <xf numFmtId="0" fontId="98" fillId="3" borderId="0" xfId="0" applyFont="1" applyFill="1" applyAlignment="1">
      <alignment horizontal="center" vertical="center"/>
    </xf>
    <xf numFmtId="0" fontId="98" fillId="3" borderId="0" xfId="0" applyFont="1" applyFill="1" applyAlignment="1" applyProtection="1">
      <alignment horizontal="center" vertical="center"/>
      <protection locked="0"/>
    </xf>
    <xf numFmtId="0" fontId="40" fillId="3" borderId="0" xfId="0" applyFont="1" applyFill="1" applyAlignment="1">
      <alignment horizontal="center" vertical="center"/>
    </xf>
    <xf numFmtId="0" fontId="22" fillId="0" borderId="0" xfId="0" applyFont="1"/>
    <xf numFmtId="0" fontId="0" fillId="0" borderId="0" xfId="0" quotePrefix="1" applyAlignment="1">
      <alignment horizontal="left"/>
    </xf>
    <xf numFmtId="0" fontId="33" fillId="4" borderId="0" xfId="0" applyFont="1" applyFill="1"/>
    <xf numFmtId="0" fontId="101" fillId="4" borderId="0" xfId="0" applyFont="1" applyFill="1" applyAlignment="1">
      <alignment vertical="center"/>
    </xf>
    <xf numFmtId="1" fontId="4" fillId="4" borderId="0" xfId="0" applyNumberFormat="1" applyFont="1" applyFill="1" applyAlignment="1">
      <alignment horizontal="center" vertical="center"/>
    </xf>
    <xf numFmtId="164" fontId="6" fillId="4" borderId="0" xfId="0" applyNumberFormat="1" applyFont="1" applyFill="1" applyAlignment="1">
      <alignment horizontal="center" vertical="center"/>
    </xf>
    <xf numFmtId="0" fontId="4" fillId="4" borderId="0" xfId="0" applyFont="1" applyFill="1" applyAlignment="1">
      <alignment horizontal="center"/>
    </xf>
    <xf numFmtId="164" fontId="3" fillId="4" borderId="0" xfId="0" applyNumberFormat="1" applyFont="1" applyFill="1" applyAlignment="1">
      <alignment horizontal="center"/>
    </xf>
    <xf numFmtId="1" fontId="3" fillId="4" borderId="0" xfId="0" applyNumberFormat="1" applyFont="1" applyFill="1" applyAlignment="1">
      <alignment horizontal="center"/>
    </xf>
    <xf numFmtId="0" fontId="2" fillId="4" borderId="0" xfId="0" applyFont="1" applyFill="1" applyAlignment="1">
      <alignment horizontal="center"/>
    </xf>
    <xf numFmtId="0" fontId="3" fillId="4" borderId="0" xfId="1" applyNumberFormat="1" applyFont="1" applyFill="1" applyBorder="1" applyAlignment="1" applyProtection="1">
      <alignment horizontal="center"/>
    </xf>
    <xf numFmtId="0" fontId="0" fillId="0" borderId="0" xfId="0" quotePrefix="1"/>
    <xf numFmtId="1" fontId="0" fillId="0" borderId="0" xfId="0" applyNumberFormat="1"/>
    <xf numFmtId="0" fontId="102" fillId="0" borderId="0" xfId="0" quotePrefix="1" applyFont="1"/>
    <xf numFmtId="0" fontId="0" fillId="0" borderId="114" xfId="0" quotePrefix="1" applyBorder="1"/>
    <xf numFmtId="0" fontId="87" fillId="0" borderId="112" xfId="0" applyFont="1" applyBorder="1"/>
    <xf numFmtId="0" fontId="0" fillId="0" borderId="114" xfId="0" applyBorder="1"/>
    <xf numFmtId="0" fontId="0" fillId="0" borderId="113" xfId="0" applyBorder="1"/>
    <xf numFmtId="164" fontId="35" fillId="4" borderId="0" xfId="0" quotePrefix="1" applyNumberFormat="1" applyFont="1" applyFill="1" applyAlignment="1">
      <alignment horizontal="center"/>
    </xf>
    <xf numFmtId="0" fontId="4" fillId="4" borderId="0" xfId="0" applyFont="1" applyFill="1" applyAlignment="1">
      <alignment vertical="center"/>
    </xf>
    <xf numFmtId="1" fontId="4" fillId="4" borderId="0" xfId="0" applyNumberFormat="1" applyFont="1" applyFill="1" applyAlignment="1">
      <alignment horizontal="center" vertical="center" wrapText="1"/>
    </xf>
    <xf numFmtId="164" fontId="41" fillId="4" borderId="0" xfId="0" applyNumberFormat="1" applyFont="1" applyFill="1" applyAlignment="1">
      <alignment horizontal="center" vertical="center"/>
    </xf>
    <xf numFmtId="0" fontId="2" fillId="33" borderId="0" xfId="0" applyFont="1" applyFill="1" applyAlignment="1">
      <alignment vertical="center"/>
    </xf>
    <xf numFmtId="0" fontId="0" fillId="33" borderId="0" xfId="0" applyFill="1" applyAlignment="1">
      <alignment vertical="center"/>
    </xf>
    <xf numFmtId="0" fontId="2" fillId="33" borderId="0" xfId="0" applyFont="1" applyFill="1" applyAlignment="1">
      <alignment horizontal="center" vertical="center"/>
    </xf>
    <xf numFmtId="0" fontId="2" fillId="33" borderId="0" xfId="0" applyFont="1" applyFill="1" applyAlignment="1">
      <alignment horizontal="right" vertical="center"/>
    </xf>
    <xf numFmtId="164" fontId="0" fillId="8" borderId="107" xfId="0" applyNumberFormat="1" applyFill="1" applyBorder="1" applyAlignment="1">
      <alignment horizontal="center" vertical="center"/>
    </xf>
    <xf numFmtId="164" fontId="0" fillId="8" borderId="108" xfId="0" applyNumberFormat="1" applyFill="1" applyBorder="1" applyAlignment="1">
      <alignment horizontal="center" vertical="center"/>
    </xf>
    <xf numFmtId="164" fontId="0" fillId="3" borderId="107" xfId="0" applyNumberFormat="1" applyFill="1" applyBorder="1" applyAlignment="1">
      <alignment horizontal="center" vertical="center"/>
    </xf>
    <xf numFmtId="164" fontId="0" fillId="3" borderId="108" xfId="0" applyNumberFormat="1" applyFill="1" applyBorder="1" applyAlignment="1">
      <alignment horizontal="center" vertical="center"/>
    </xf>
    <xf numFmtId="164" fontId="0" fillId="4" borderId="107" xfId="0" applyNumberFormat="1" applyFill="1" applyBorder="1" applyAlignment="1">
      <alignment horizontal="center" vertical="center"/>
    </xf>
    <xf numFmtId="164" fontId="0" fillId="4" borderId="108" xfId="0" applyNumberFormat="1" applyFill="1" applyBorder="1" applyAlignment="1">
      <alignment horizontal="center" vertical="center"/>
    </xf>
    <xf numFmtId="0" fontId="63" fillId="20" borderId="0" xfId="0" applyFont="1" applyFill="1" applyAlignment="1">
      <alignment horizontal="left" vertical="center"/>
    </xf>
    <xf numFmtId="0" fontId="0" fillId="3" borderId="104" xfId="0" applyFill="1" applyBorder="1" applyAlignment="1">
      <alignment vertical="center"/>
    </xf>
    <xf numFmtId="0" fontId="0" fillId="3" borderId="105" xfId="0" applyFill="1" applyBorder="1" applyAlignment="1">
      <alignment vertical="center"/>
    </xf>
    <xf numFmtId="0" fontId="0" fillId="3" borderId="105" xfId="0" applyFill="1" applyBorder="1" applyAlignment="1">
      <alignment horizontal="left" vertical="center"/>
    </xf>
    <xf numFmtId="0" fontId="0" fillId="3" borderId="106" xfId="0" applyFill="1" applyBorder="1" applyAlignment="1">
      <alignment vertical="center"/>
    </xf>
    <xf numFmtId="0" fontId="0" fillId="3" borderId="107" xfId="0" applyFill="1" applyBorder="1" applyAlignment="1">
      <alignment vertical="center"/>
    </xf>
    <xf numFmtId="0" fontId="0" fillId="3" borderId="108" xfId="0" applyFill="1" applyBorder="1" applyAlignment="1">
      <alignment vertical="center"/>
    </xf>
    <xf numFmtId="0" fontId="0" fillId="3" borderId="109" xfId="0" applyFill="1" applyBorder="1" applyAlignment="1">
      <alignment vertical="center"/>
    </xf>
    <xf numFmtId="0" fontId="0" fillId="3" borderId="110" xfId="0" applyFill="1" applyBorder="1" applyAlignment="1">
      <alignment vertical="center"/>
    </xf>
    <xf numFmtId="0" fontId="0" fillId="3" borderId="110" xfId="0" applyFill="1" applyBorder="1" applyAlignment="1">
      <alignment horizontal="left" vertical="center"/>
    </xf>
    <xf numFmtId="0" fontId="0" fillId="3" borderId="111" xfId="0" applyFill="1" applyBorder="1" applyAlignment="1">
      <alignment vertical="center"/>
    </xf>
    <xf numFmtId="0" fontId="65" fillId="3" borderId="107" xfId="0" applyFont="1" applyFill="1" applyBorder="1" applyAlignment="1">
      <alignment vertical="center"/>
    </xf>
    <xf numFmtId="0" fontId="65" fillId="3" borderId="108" xfId="0" applyFont="1" applyFill="1" applyBorder="1" applyAlignment="1">
      <alignment vertical="center"/>
    </xf>
    <xf numFmtId="164" fontId="4" fillId="14" borderId="107" xfId="0" applyNumberFormat="1" applyFont="1" applyFill="1" applyBorder="1" applyAlignment="1">
      <alignment horizontal="center" vertical="center"/>
    </xf>
    <xf numFmtId="164" fontId="4" fillId="14" borderId="108" xfId="0" applyNumberFormat="1" applyFont="1" applyFill="1" applyBorder="1" applyAlignment="1">
      <alignment horizontal="center" vertical="center"/>
    </xf>
    <xf numFmtId="164" fontId="4" fillId="14" borderId="109" xfId="0" applyNumberFormat="1" applyFont="1" applyFill="1" applyBorder="1" applyAlignment="1">
      <alignment horizontal="center" vertical="center"/>
    </xf>
    <xf numFmtId="164" fontId="4" fillId="14" borderId="111" xfId="0" applyNumberFormat="1" applyFont="1" applyFill="1" applyBorder="1" applyAlignment="1">
      <alignment horizontal="center" vertical="center"/>
    </xf>
    <xf numFmtId="0" fontId="63" fillId="20" borderId="107" xfId="0" applyFont="1" applyFill="1" applyBorder="1" applyAlignment="1">
      <alignment horizontal="center" vertical="center"/>
    </xf>
    <xf numFmtId="164" fontId="63" fillId="20" borderId="108" xfId="0" applyNumberFormat="1" applyFont="1" applyFill="1" applyBorder="1" applyAlignment="1">
      <alignment horizontal="center" vertical="center"/>
    </xf>
    <xf numFmtId="164" fontId="63" fillId="20" borderId="109" xfId="0" applyNumberFormat="1" applyFont="1" applyFill="1" applyBorder="1" applyAlignment="1">
      <alignment horizontal="center" vertical="center"/>
    </xf>
    <xf numFmtId="164" fontId="63" fillId="20" borderId="111" xfId="0" applyNumberFormat="1" applyFont="1" applyFill="1" applyBorder="1" applyAlignment="1">
      <alignment horizontal="center" vertical="center"/>
    </xf>
    <xf numFmtId="164" fontId="3" fillId="3" borderId="103" xfId="0" applyNumberFormat="1" applyFont="1" applyFill="1" applyBorder="1" applyAlignment="1">
      <alignment horizontal="center" vertical="center"/>
    </xf>
    <xf numFmtId="1" fontId="3" fillId="3" borderId="103" xfId="0" applyNumberFormat="1" applyFont="1" applyFill="1" applyBorder="1" applyAlignment="1">
      <alignment horizontal="center" vertical="center"/>
    </xf>
    <xf numFmtId="0" fontId="3" fillId="3" borderId="103" xfId="0" applyFont="1" applyFill="1" applyBorder="1" applyAlignment="1">
      <alignment horizontal="center" vertical="center"/>
    </xf>
    <xf numFmtId="0" fontId="3" fillId="3" borderId="103" xfId="0" quotePrefix="1" applyFont="1" applyFill="1" applyBorder="1" applyAlignment="1">
      <alignment horizontal="center" vertical="center"/>
    </xf>
    <xf numFmtId="164" fontId="3" fillId="3" borderId="103" xfId="0" quotePrefix="1" applyNumberFormat="1" applyFont="1" applyFill="1" applyBorder="1" applyAlignment="1">
      <alignment horizontal="center" vertical="center"/>
    </xf>
    <xf numFmtId="0" fontId="3" fillId="20" borderId="0" xfId="0" applyFont="1" applyFill="1" applyAlignment="1">
      <alignment horizontal="center" vertical="center"/>
    </xf>
    <xf numFmtId="164" fontId="0" fillId="3" borderId="103" xfId="0" applyNumberFormat="1" applyFill="1" applyBorder="1" applyAlignment="1">
      <alignment horizontal="center" vertical="center"/>
    </xf>
    <xf numFmtId="1" fontId="3" fillId="3" borderId="103" xfId="0" applyNumberFormat="1" applyFont="1" applyFill="1" applyBorder="1" applyAlignment="1">
      <alignment horizontal="center" vertical="center" wrapText="1"/>
    </xf>
    <xf numFmtId="164" fontId="3" fillId="3" borderId="103" xfId="1" applyNumberFormat="1" applyFont="1" applyFill="1" applyBorder="1" applyAlignment="1" applyProtection="1">
      <alignment horizontal="center" vertical="center" wrapText="1"/>
    </xf>
    <xf numFmtId="164" fontId="3" fillId="3" borderId="103" xfId="0" applyNumberFormat="1" applyFont="1" applyFill="1" applyBorder="1" applyAlignment="1">
      <alignment horizontal="center" vertical="center" wrapText="1"/>
    </xf>
    <xf numFmtId="2" fontId="3" fillId="3" borderId="103" xfId="0" applyNumberFormat="1" applyFont="1" applyFill="1" applyBorder="1" applyAlignment="1">
      <alignment horizontal="center" vertical="center"/>
    </xf>
    <xf numFmtId="0" fontId="0" fillId="0" borderId="103" xfId="0" applyBorder="1" applyAlignment="1">
      <alignment horizontal="center" vertical="center"/>
    </xf>
    <xf numFmtId="44" fontId="1" fillId="3" borderId="103" xfId="2" applyFont="1" applyFill="1" applyBorder="1" applyAlignment="1" applyProtection="1">
      <alignment horizontal="center" vertical="center"/>
    </xf>
    <xf numFmtId="168" fontId="1" fillId="3" borderId="103" xfId="2" applyNumberFormat="1" applyFont="1" applyFill="1" applyBorder="1" applyAlignment="1" applyProtection="1">
      <alignment horizontal="center" vertical="center"/>
    </xf>
    <xf numFmtId="1" fontId="0" fillId="3" borderId="103" xfId="0" applyNumberFormat="1" applyFill="1" applyBorder="1" applyAlignment="1">
      <alignment horizontal="center" vertical="center"/>
    </xf>
    <xf numFmtId="1" fontId="0" fillId="3" borderId="0" xfId="0" applyNumberFormat="1" applyFill="1" applyAlignment="1">
      <alignment horizontal="left" vertical="center"/>
    </xf>
    <xf numFmtId="0" fontId="40" fillId="4" borderId="0" xfId="0" applyFont="1" applyFill="1" applyAlignment="1">
      <alignment horizontal="right" vertical="center"/>
    </xf>
    <xf numFmtId="0" fontId="9" fillId="4" borderId="0" xfId="0" applyFont="1" applyFill="1" applyAlignment="1">
      <alignment horizontal="right" vertical="center"/>
    </xf>
    <xf numFmtId="164" fontId="7" fillId="3" borderId="0" xfId="0" applyNumberFormat="1" applyFont="1" applyFill="1" applyAlignment="1">
      <alignment horizontal="center" vertical="center"/>
    </xf>
    <xf numFmtId="0" fontId="0" fillId="3" borderId="0" xfId="0" quotePrefix="1" applyFill="1" applyAlignment="1">
      <alignment vertical="center"/>
    </xf>
    <xf numFmtId="0" fontId="0" fillId="3" borderId="107" xfId="0" applyFill="1" applyBorder="1" applyAlignment="1">
      <alignment horizontal="center" vertical="center"/>
    </xf>
    <xf numFmtId="0" fontId="0" fillId="3" borderId="108" xfId="0" applyFill="1" applyBorder="1" applyAlignment="1">
      <alignment horizontal="center" vertical="center"/>
    </xf>
    <xf numFmtId="0" fontId="2" fillId="33" borderId="0" xfId="0" applyFont="1" applyFill="1" applyAlignment="1">
      <alignment horizontal="left" vertical="center"/>
    </xf>
    <xf numFmtId="0" fontId="2" fillId="8" borderId="0" xfId="0" applyFont="1" applyFill="1" applyAlignment="1">
      <alignment horizontal="left" vertical="center"/>
    </xf>
    <xf numFmtId="172" fontId="3" fillId="3" borderId="116" xfId="0" applyNumberFormat="1" applyFont="1" applyFill="1" applyBorder="1" applyAlignment="1">
      <alignment horizontal="center" vertical="center"/>
    </xf>
    <xf numFmtId="14" fontId="50" fillId="3" borderId="0" xfId="0" applyNumberFormat="1" applyFont="1" applyFill="1" applyAlignment="1">
      <alignment horizontal="center" vertical="center"/>
    </xf>
    <xf numFmtId="0" fontId="104" fillId="3" borderId="0" xfId="0" applyFont="1" applyFill="1" applyAlignment="1">
      <alignment horizontal="left" vertical="center"/>
    </xf>
    <xf numFmtId="164" fontId="3" fillId="3" borderId="0" xfId="0" applyNumberFormat="1" applyFont="1" applyFill="1" applyAlignment="1">
      <alignment horizontal="left" vertical="center"/>
    </xf>
    <xf numFmtId="0" fontId="104" fillId="3" borderId="0" xfId="0" applyFont="1" applyFill="1" applyAlignment="1">
      <alignment horizontal="left"/>
    </xf>
    <xf numFmtId="164" fontId="3" fillId="3" borderId="0" xfId="0" applyNumberFormat="1" applyFont="1" applyFill="1" applyAlignment="1">
      <alignment horizontal="center" vertical="center"/>
    </xf>
    <xf numFmtId="0" fontId="104" fillId="3" borderId="0" xfId="0" applyFont="1" applyFill="1" applyAlignment="1">
      <alignment horizontal="center"/>
    </xf>
    <xf numFmtId="0" fontId="4" fillId="33" borderId="0" xfId="0" applyFont="1" applyFill="1" applyAlignment="1">
      <alignment horizontal="left" vertical="center"/>
    </xf>
    <xf numFmtId="164" fontId="0" fillId="3" borderId="16" xfId="0" applyNumberFormat="1" applyFill="1" applyBorder="1" applyAlignment="1">
      <alignment horizontal="center" vertical="center"/>
    </xf>
    <xf numFmtId="0" fontId="0" fillId="3" borderId="16" xfId="0" applyFill="1" applyBorder="1" applyAlignment="1">
      <alignment vertical="center"/>
    </xf>
    <xf numFmtId="0" fontId="3" fillId="4" borderId="0" xfId="0" applyFont="1" applyFill="1"/>
    <xf numFmtId="0" fontId="105" fillId="4" borderId="117" xfId="0" applyFont="1" applyFill="1" applyBorder="1" applyAlignment="1">
      <alignment horizontal="center" vertical="center"/>
    </xf>
    <xf numFmtId="0" fontId="61" fillId="3" borderId="0" xfId="0" applyFont="1" applyFill="1" applyAlignment="1">
      <alignment horizontal="center"/>
    </xf>
    <xf numFmtId="0" fontId="4" fillId="18" borderId="0" xfId="0" applyFont="1" applyFill="1" applyAlignment="1">
      <alignment horizontal="left" vertical="center"/>
    </xf>
    <xf numFmtId="164" fontId="9" fillId="30" borderId="85" xfId="2" applyNumberFormat="1" applyFont="1" applyFill="1" applyBorder="1" applyAlignment="1" applyProtection="1">
      <alignment horizontal="center" vertical="center"/>
      <protection locked="0"/>
    </xf>
    <xf numFmtId="0" fontId="1" fillId="3" borderId="0" xfId="0" applyFont="1" applyFill="1" applyAlignment="1">
      <alignment horizontal="center" vertical="center"/>
    </xf>
    <xf numFmtId="44" fontId="111" fillId="3" borderId="0" xfId="2" applyFont="1" applyFill="1" applyBorder="1" applyAlignment="1" applyProtection="1">
      <alignment horizontal="center" vertical="center"/>
    </xf>
    <xf numFmtId="170" fontId="7" fillId="22" borderId="0" xfId="0" applyNumberFormat="1" applyFont="1" applyFill="1" applyAlignment="1">
      <alignment horizontal="center" vertical="center"/>
    </xf>
    <xf numFmtId="44" fontId="3" fillId="3" borderId="29" xfId="2" applyFont="1" applyFill="1" applyBorder="1" applyAlignment="1" applyProtection="1">
      <alignment horizontal="center" vertical="center"/>
    </xf>
    <xf numFmtId="0" fontId="41" fillId="4" borderId="0" xfId="0" applyFont="1" applyFill="1"/>
    <xf numFmtId="0" fontId="3" fillId="4" borderId="0" xfId="0" applyFont="1" applyFill="1" applyAlignment="1">
      <alignment horizontal="center"/>
    </xf>
    <xf numFmtId="0" fontId="17" fillId="4" borderId="0" xfId="0" applyFont="1" applyFill="1" applyAlignment="1">
      <alignment horizontal="center"/>
    </xf>
    <xf numFmtId="0" fontId="19" fillId="4" borderId="0" xfId="0" applyFont="1" applyFill="1" applyAlignment="1">
      <alignment horizontal="center"/>
    </xf>
    <xf numFmtId="0" fontId="15" fillId="4" borderId="0" xfId="0" applyFont="1" applyFill="1"/>
    <xf numFmtId="0" fontId="21"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7" fillId="3" borderId="0" xfId="0" applyFont="1" applyFill="1" applyAlignment="1">
      <alignment vertical="center"/>
    </xf>
    <xf numFmtId="164" fontId="4" fillId="3" borderId="0" xfId="2" applyNumberFormat="1" applyFont="1" applyFill="1" applyBorder="1" applyAlignment="1" applyProtection="1">
      <alignment horizontal="center" vertical="center"/>
      <protection locked="0"/>
    </xf>
    <xf numFmtId="1" fontId="4" fillId="3" borderId="0" xfId="2" applyNumberFormat="1" applyFont="1" applyFill="1" applyBorder="1" applyAlignment="1" applyProtection="1">
      <alignment horizontal="center" vertical="center"/>
      <protection locked="0"/>
    </xf>
    <xf numFmtId="164" fontId="2" fillId="3" borderId="0" xfId="2" applyNumberFormat="1" applyFont="1" applyFill="1" applyBorder="1" applyAlignment="1" applyProtection="1">
      <alignment horizontal="center" vertical="center" wrapText="1"/>
      <protection locked="0"/>
    </xf>
    <xf numFmtId="0" fontId="53" fillId="3" borderId="0" xfId="0" applyFont="1" applyFill="1"/>
    <xf numFmtId="0" fontId="2" fillId="3" borderId="0" xfId="0" applyFont="1" applyFill="1" applyAlignment="1">
      <alignment horizontal="right" vertical="center" wrapText="1"/>
    </xf>
    <xf numFmtId="1" fontId="9" fillId="30" borderId="91" xfId="2" applyNumberFormat="1"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12" fillId="0" borderId="0" xfId="0" applyFont="1"/>
    <xf numFmtId="0" fontId="112" fillId="0" borderId="0" xfId="0" applyFont="1" applyAlignment="1">
      <alignment vertical="center"/>
    </xf>
    <xf numFmtId="0" fontId="112" fillId="3" borderId="0" xfId="0" applyFont="1" applyFill="1"/>
    <xf numFmtId="164" fontId="112" fillId="3" borderId="0" xfId="0" applyNumberFormat="1" applyFont="1" applyFill="1" applyAlignment="1">
      <alignment horizontal="center"/>
    </xf>
    <xf numFmtId="0" fontId="113" fillId="0" borderId="0" xfId="0" applyFont="1" applyAlignment="1">
      <alignment vertical="center"/>
    </xf>
    <xf numFmtId="0" fontId="112" fillId="3" borderId="0" xfId="0" applyFont="1" applyFill="1" applyAlignment="1">
      <alignment vertical="center"/>
    </xf>
    <xf numFmtId="0" fontId="112" fillId="3" borderId="0" xfId="0" applyFont="1" applyFill="1" applyAlignment="1">
      <alignment horizontal="center"/>
    </xf>
    <xf numFmtId="0" fontId="10" fillId="3" borderId="0" xfId="0" applyFont="1" applyFill="1" applyAlignment="1">
      <alignment horizontal="center"/>
    </xf>
    <xf numFmtId="0" fontId="10" fillId="3" borderId="0" xfId="0" applyFont="1" applyFill="1"/>
    <xf numFmtId="0" fontId="112" fillId="0" borderId="0" xfId="0" applyFont="1" applyAlignment="1">
      <alignment horizontal="center"/>
    </xf>
    <xf numFmtId="0" fontId="112" fillId="4" borderId="0" xfId="0" applyFont="1" applyFill="1"/>
    <xf numFmtId="0" fontId="13" fillId="3" borderId="121" xfId="0" applyFont="1" applyFill="1" applyBorder="1" applyAlignment="1">
      <alignment horizontal="center" vertical="center"/>
    </xf>
    <xf numFmtId="0" fontId="13" fillId="3" borderId="122" xfId="0" applyFont="1" applyFill="1" applyBorder="1" applyAlignment="1">
      <alignment horizontal="center" vertical="center"/>
    </xf>
    <xf numFmtId="0" fontId="4" fillId="3" borderId="121" xfId="0" applyFont="1" applyFill="1" applyBorder="1" applyAlignment="1">
      <alignment horizontal="center"/>
    </xf>
    <xf numFmtId="0" fontId="4" fillId="3" borderId="122" xfId="0" applyFont="1" applyFill="1" applyBorder="1"/>
    <xf numFmtId="164" fontId="111" fillId="3" borderId="122" xfId="2" applyNumberFormat="1" applyFont="1" applyFill="1" applyBorder="1" applyAlignment="1" applyProtection="1">
      <alignment horizontal="center" vertical="center"/>
    </xf>
    <xf numFmtId="164" fontId="114" fillId="3" borderId="0" xfId="2" applyNumberFormat="1" applyFont="1" applyFill="1" applyBorder="1" applyAlignment="1" applyProtection="1">
      <alignment vertical="center"/>
    </xf>
    <xf numFmtId="164" fontId="114" fillId="3" borderId="122" xfId="2" applyNumberFormat="1" applyFont="1" applyFill="1" applyBorder="1" applyAlignment="1" applyProtection="1">
      <alignment vertical="center"/>
    </xf>
    <xf numFmtId="0" fontId="0" fillId="3" borderId="121" xfId="0" applyFill="1" applyBorder="1"/>
    <xf numFmtId="0" fontId="79" fillId="4" borderId="0" xfId="0" applyFont="1" applyFill="1" applyAlignment="1" applyProtection="1">
      <alignment vertical="center"/>
      <protection locked="0"/>
    </xf>
    <xf numFmtId="1" fontId="9" fillId="30" borderId="16" xfId="2" applyNumberFormat="1" applyFont="1" applyFill="1" applyBorder="1" applyAlignment="1" applyProtection="1">
      <alignment horizontal="center" vertical="center"/>
      <protection locked="0"/>
    </xf>
    <xf numFmtId="0" fontId="2" fillId="3" borderId="24" xfId="0" applyFont="1" applyFill="1" applyBorder="1" applyAlignment="1">
      <alignment horizontal="left"/>
    </xf>
    <xf numFmtId="0" fontId="4" fillId="4" borderId="23" xfId="0" applyFont="1" applyFill="1" applyBorder="1" applyAlignment="1">
      <alignment vertical="center"/>
    </xf>
    <xf numFmtId="0" fontId="4" fillId="4" borderId="24" xfId="0" applyFont="1" applyFill="1" applyBorder="1" applyAlignment="1">
      <alignment vertical="center"/>
    </xf>
    <xf numFmtId="0" fontId="4" fillId="3" borderId="26" xfId="0" applyFont="1" applyFill="1" applyBorder="1" applyAlignment="1">
      <alignment vertical="center"/>
    </xf>
    <xf numFmtId="0" fontId="4" fillId="3" borderId="0" xfId="0" applyFont="1" applyFill="1" applyAlignment="1">
      <alignment vertical="center"/>
    </xf>
    <xf numFmtId="0" fontId="4" fillId="4" borderId="26" xfId="0" applyFont="1" applyFill="1" applyBorder="1" applyAlignment="1">
      <alignment vertical="center"/>
    </xf>
    <xf numFmtId="0" fontId="4" fillId="4" borderId="27" xfId="0" applyFont="1" applyFill="1" applyBorder="1" applyAlignment="1">
      <alignment vertical="center"/>
    </xf>
    <xf numFmtId="0" fontId="4" fillId="4" borderId="28" xfId="0" applyFont="1" applyFill="1" applyBorder="1" applyAlignment="1">
      <alignment vertical="center"/>
    </xf>
    <xf numFmtId="164" fontId="35" fillId="3" borderId="0" xfId="0" quotePrefix="1" applyNumberFormat="1" applyFont="1" applyFill="1" applyAlignment="1">
      <alignment vertical="center"/>
    </xf>
    <xf numFmtId="0" fontId="0" fillId="3" borderId="125" xfId="0" applyFill="1" applyBorder="1" applyAlignment="1">
      <alignment horizontal="center"/>
    </xf>
    <xf numFmtId="0" fontId="6" fillId="4" borderId="0" xfId="0" applyFont="1" applyFill="1"/>
    <xf numFmtId="0" fontId="42" fillId="4" borderId="0" xfId="0" applyFont="1" applyFill="1" applyAlignment="1">
      <alignment vertical="center"/>
    </xf>
    <xf numFmtId="0" fontId="61" fillId="4" borderId="0" xfId="0" applyFont="1" applyFill="1" applyAlignment="1">
      <alignment vertical="center"/>
    </xf>
    <xf numFmtId="0" fontId="43" fillId="4" borderId="0" xfId="0" applyFont="1" applyFill="1" applyAlignment="1">
      <alignment horizontal="center" vertical="center"/>
    </xf>
    <xf numFmtId="0" fontId="61" fillId="4" borderId="0" xfId="0" applyFont="1" applyFill="1" applyAlignment="1">
      <alignment horizontal="center" vertical="center"/>
    </xf>
    <xf numFmtId="164" fontId="93" fillId="4" borderId="0" xfId="0" applyNumberFormat="1" applyFont="1" applyFill="1" applyAlignment="1">
      <alignment horizontal="center" vertical="center"/>
    </xf>
    <xf numFmtId="0" fontId="78" fillId="4" borderId="0" xfId="0" applyFont="1" applyFill="1" applyAlignment="1">
      <alignment horizontal="left" vertical="center"/>
    </xf>
    <xf numFmtId="0" fontId="42" fillId="4" borderId="0" xfId="0" applyFont="1" applyFill="1" applyAlignment="1">
      <alignment horizontal="center" vertical="center"/>
    </xf>
    <xf numFmtId="0" fontId="103" fillId="4" borderId="0" xfId="0" applyFont="1" applyFill="1" applyAlignment="1">
      <alignment horizontal="center" vertical="center"/>
    </xf>
    <xf numFmtId="1" fontId="43" fillId="4" borderId="0" xfId="0" applyNumberFormat="1" applyFont="1" applyFill="1" applyAlignment="1">
      <alignment horizontal="center" vertical="center"/>
    </xf>
    <xf numFmtId="0" fontId="61" fillId="4" borderId="0" xfId="0" applyFont="1" applyFill="1" applyAlignment="1">
      <alignment horizontal="left" vertical="center"/>
    </xf>
    <xf numFmtId="164" fontId="107" fillId="4" borderId="0" xfId="0" applyNumberFormat="1" applyFont="1" applyFill="1" applyAlignment="1">
      <alignment horizontal="left" vertical="center"/>
    </xf>
    <xf numFmtId="164" fontId="106" fillId="4" borderId="0" xfId="0" applyNumberFormat="1" applyFont="1" applyFill="1" applyAlignment="1">
      <alignment horizontal="center" vertical="center"/>
    </xf>
    <xf numFmtId="0" fontId="37" fillId="4" borderId="0" xfId="0" applyFont="1" applyFill="1" applyAlignment="1">
      <alignment vertical="center"/>
    </xf>
    <xf numFmtId="1" fontId="90" fillId="4" borderId="0" xfId="0" applyNumberFormat="1" applyFont="1" applyFill="1" applyAlignment="1">
      <alignment horizontal="center" vertical="center"/>
    </xf>
    <xf numFmtId="164" fontId="63" fillId="4" borderId="0" xfId="0" applyNumberFormat="1" applyFont="1" applyFill="1" applyAlignment="1">
      <alignment horizontal="left" vertical="center"/>
    </xf>
    <xf numFmtId="164" fontId="90" fillId="4" borderId="0" xfId="0" applyNumberFormat="1" applyFont="1" applyFill="1" applyAlignment="1">
      <alignment horizontal="center" vertical="center"/>
    </xf>
    <xf numFmtId="164" fontId="7" fillId="4" borderId="0" xfId="0" applyNumberFormat="1" applyFont="1" applyFill="1" applyAlignment="1">
      <alignment horizontal="left" vertical="center"/>
    </xf>
    <xf numFmtId="164" fontId="94" fillId="4" borderId="0" xfId="0" applyNumberFormat="1" applyFont="1" applyFill="1" applyAlignment="1">
      <alignment vertical="center"/>
    </xf>
    <xf numFmtId="0" fontId="4" fillId="18" borderId="121" xfId="0" applyFont="1" applyFill="1" applyBorder="1" applyAlignment="1">
      <alignment horizontal="left" vertical="center"/>
    </xf>
    <xf numFmtId="0" fontId="4" fillId="3" borderId="121" xfId="0" applyFont="1" applyFill="1" applyBorder="1" applyAlignment="1">
      <alignment horizontal="left" vertical="center"/>
    </xf>
    <xf numFmtId="0" fontId="0" fillId="4" borderId="0" xfId="0" quotePrefix="1" applyFill="1"/>
    <xf numFmtId="164" fontId="2" fillId="4" borderId="0" xfId="0" applyNumberFormat="1" applyFont="1" applyFill="1" applyAlignment="1">
      <alignment vertical="center"/>
    </xf>
    <xf numFmtId="44" fontId="118" fillId="3" borderId="0" xfId="0" applyNumberFormat="1" applyFont="1" applyFill="1" applyAlignment="1">
      <alignment horizontal="center" vertical="center"/>
    </xf>
    <xf numFmtId="0" fontId="99" fillId="4" borderId="0" xfId="0" applyFont="1" applyFill="1" applyAlignment="1">
      <alignment horizontal="center" vertical="center"/>
    </xf>
    <xf numFmtId="0" fontId="81" fillId="4" borderId="0" xfId="0" applyFont="1" applyFill="1" applyAlignment="1">
      <alignment horizontal="center" vertical="center"/>
    </xf>
    <xf numFmtId="164" fontId="9" fillId="30" borderId="16" xfId="2" applyNumberFormat="1" applyFont="1" applyFill="1" applyBorder="1" applyAlignment="1" applyProtection="1">
      <alignment horizontal="center" vertical="center"/>
      <protection locked="0"/>
    </xf>
    <xf numFmtId="1" fontId="4" fillId="18" borderId="133" xfId="0" applyNumberFormat="1" applyFont="1" applyFill="1" applyBorder="1" applyAlignment="1">
      <alignment horizontal="center" vertical="center"/>
    </xf>
    <xf numFmtId="1" fontId="4" fillId="3" borderId="133" xfId="0" applyNumberFormat="1" applyFont="1" applyFill="1" applyBorder="1" applyAlignment="1">
      <alignment horizontal="center" vertical="center"/>
    </xf>
    <xf numFmtId="0" fontId="62" fillId="34" borderId="118" xfId="0" applyFont="1" applyFill="1" applyBorder="1" applyAlignment="1">
      <alignment vertical="center"/>
    </xf>
    <xf numFmtId="0" fontId="26" fillId="3" borderId="119" xfId="0" applyFont="1" applyFill="1" applyBorder="1" applyAlignment="1">
      <alignment horizontal="center" vertical="center"/>
    </xf>
    <xf numFmtId="0" fontId="9" fillId="3" borderId="121" xfId="0" applyFont="1" applyFill="1" applyBorder="1" applyAlignment="1">
      <alignment horizontal="left"/>
    </xf>
    <xf numFmtId="164" fontId="111" fillId="3" borderId="122" xfId="0" applyNumberFormat="1" applyFont="1" applyFill="1" applyBorder="1" applyAlignment="1">
      <alignment horizontal="center" vertical="center"/>
    </xf>
    <xf numFmtId="0" fontId="13" fillId="3" borderId="121" xfId="0" applyFont="1" applyFill="1" applyBorder="1"/>
    <xf numFmtId="0" fontId="48" fillId="3" borderId="122" xfId="0" applyFont="1" applyFill="1" applyBorder="1" applyAlignment="1">
      <alignment vertical="center" wrapText="1"/>
    </xf>
    <xf numFmtId="0" fontId="9" fillId="3" borderId="121" xfId="0" applyFont="1" applyFill="1" applyBorder="1" applyAlignment="1">
      <alignment horizontal="center" vertical="center"/>
    </xf>
    <xf numFmtId="0" fontId="0" fillId="3" borderId="124" xfId="0" applyFill="1" applyBorder="1" applyAlignment="1">
      <alignment horizontal="center"/>
    </xf>
    <xf numFmtId="0" fontId="22" fillId="3" borderId="125" xfId="0" applyFont="1" applyFill="1" applyBorder="1" applyAlignment="1">
      <alignment horizontal="center"/>
    </xf>
    <xf numFmtId="0" fontId="13" fillId="3" borderId="125" xfId="0" applyFont="1" applyFill="1" applyBorder="1" applyAlignment="1">
      <alignment horizontal="center" vertical="center"/>
    </xf>
    <xf numFmtId="0" fontId="13" fillId="3" borderId="131" xfId="0" applyFont="1" applyFill="1" applyBorder="1" applyAlignment="1">
      <alignment horizontal="center" vertical="center"/>
    </xf>
    <xf numFmtId="164" fontId="4" fillId="3" borderId="121" xfId="0" applyNumberFormat="1" applyFont="1" applyFill="1" applyBorder="1" applyAlignment="1">
      <alignment horizontal="center" vertical="center"/>
    </xf>
    <xf numFmtId="0" fontId="122" fillId="3" borderId="122" xfId="0" applyFont="1" applyFill="1" applyBorder="1" applyAlignment="1">
      <alignment vertical="center"/>
    </xf>
    <xf numFmtId="0" fontId="110" fillId="3" borderId="0" xfId="0" applyFont="1" applyFill="1" applyAlignment="1" applyProtection="1">
      <alignment horizontal="center" vertical="center"/>
      <protection locked="0"/>
    </xf>
    <xf numFmtId="0" fontId="0" fillId="3" borderId="121" xfId="0" applyFill="1" applyBorder="1" applyAlignment="1">
      <alignment horizontal="center"/>
    </xf>
    <xf numFmtId="0" fontId="86" fillId="3" borderId="0" xfId="0" applyFont="1" applyFill="1" applyAlignment="1">
      <alignment horizontal="right"/>
    </xf>
    <xf numFmtId="0" fontId="43" fillId="4" borderId="0" xfId="0" applyFont="1" applyFill="1" applyAlignment="1">
      <alignment horizontal="center" vertical="center" wrapText="1"/>
    </xf>
    <xf numFmtId="0" fontId="13" fillId="4" borderId="0" xfId="0" applyFont="1" applyFill="1" applyAlignment="1">
      <alignment horizontal="center" vertical="center"/>
    </xf>
    <xf numFmtId="0" fontId="109" fillId="4" borderId="0" xfId="0" applyFont="1" applyFill="1" applyAlignment="1">
      <alignment horizontal="center" vertical="center"/>
    </xf>
    <xf numFmtId="0" fontId="48" fillId="4" borderId="0" xfId="0" applyFont="1" applyFill="1" applyAlignment="1">
      <alignment horizontal="center" vertical="center"/>
    </xf>
    <xf numFmtId="0" fontId="53" fillId="4" borderId="0" xfId="0" applyFont="1" applyFill="1" applyAlignment="1">
      <alignment horizontal="center" vertical="center"/>
    </xf>
    <xf numFmtId="2" fontId="118" fillId="3" borderId="0" xfId="2" applyNumberFormat="1" applyFont="1" applyFill="1" applyBorder="1" applyAlignment="1" applyProtection="1">
      <alignment horizontal="center" vertical="center"/>
    </xf>
    <xf numFmtId="0" fontId="0" fillId="3" borderId="122" xfId="0" applyFill="1" applyBorder="1" applyAlignment="1">
      <alignment horizontal="center"/>
    </xf>
    <xf numFmtId="0" fontId="115" fillId="3" borderId="0" xfId="0" applyFont="1" applyFill="1" applyAlignment="1">
      <alignment horizontal="center" vertical="center"/>
    </xf>
    <xf numFmtId="0" fontId="2" fillId="3" borderId="0" xfId="0" quotePrefix="1" applyFont="1" applyFill="1" applyAlignment="1">
      <alignment horizontal="center"/>
    </xf>
    <xf numFmtId="0" fontId="79" fillId="3" borderId="16" xfId="0" applyFont="1" applyFill="1" applyBorder="1" applyAlignment="1" applyProtection="1">
      <alignment horizontal="center" vertical="center"/>
      <protection locked="0"/>
    </xf>
    <xf numFmtId="2" fontId="118" fillId="3" borderId="125" xfId="2" applyNumberFormat="1" applyFont="1" applyFill="1" applyBorder="1" applyAlignment="1" applyProtection="1">
      <alignment horizontal="center" vertical="center"/>
    </xf>
    <xf numFmtId="0" fontId="13" fillId="3" borderId="122" xfId="0" applyFont="1" applyFill="1" applyBorder="1" applyAlignment="1">
      <alignment vertical="center"/>
    </xf>
    <xf numFmtId="0" fontId="0" fillId="3" borderId="122" xfId="0" applyFill="1" applyBorder="1"/>
    <xf numFmtId="44" fontId="111" fillId="3" borderId="122" xfId="2" applyFont="1" applyFill="1" applyBorder="1" applyAlignment="1" applyProtection="1">
      <alignment horizontal="center" vertical="center"/>
    </xf>
    <xf numFmtId="0" fontId="9" fillId="3" borderId="0" xfId="0" applyFont="1" applyFill="1" applyAlignment="1">
      <alignment horizontal="center" vertical="center" wrapText="1"/>
    </xf>
    <xf numFmtId="164" fontId="88" fillId="3" borderId="121" xfId="0" applyNumberFormat="1" applyFont="1" applyFill="1" applyBorder="1" applyAlignment="1">
      <alignment horizontal="right"/>
    </xf>
    <xf numFmtId="0" fontId="17" fillId="3" borderId="121" xfId="0" applyFont="1" applyFill="1" applyBorder="1" applyAlignment="1">
      <alignment horizontal="center"/>
    </xf>
    <xf numFmtId="0" fontId="17" fillId="3" borderId="124" xfId="0" applyFont="1" applyFill="1" applyBorder="1" applyAlignment="1">
      <alignment horizontal="center"/>
    </xf>
    <xf numFmtId="0" fontId="13" fillId="3" borderId="119" xfId="0" applyFont="1" applyFill="1" applyBorder="1" applyAlignment="1">
      <alignment vertical="center"/>
    </xf>
    <xf numFmtId="2" fontId="3" fillId="4" borderId="0" xfId="2" applyNumberFormat="1" applyFont="1" applyFill="1" applyBorder="1" applyAlignment="1" applyProtection="1">
      <alignment horizontal="center" vertical="center"/>
    </xf>
    <xf numFmtId="0" fontId="26" fillId="3" borderId="119" xfId="0" applyFont="1" applyFill="1" applyBorder="1" applyAlignment="1">
      <alignment vertical="center"/>
    </xf>
    <xf numFmtId="0" fontId="9" fillId="4" borderId="121" xfId="0" applyFont="1" applyFill="1" applyBorder="1" applyAlignment="1">
      <alignment horizontal="left" vertical="center"/>
    </xf>
    <xf numFmtId="0" fontId="9" fillId="3" borderId="121" xfId="0" applyFont="1" applyFill="1" applyBorder="1" applyAlignment="1">
      <alignment horizontal="left" vertical="center"/>
    </xf>
    <xf numFmtId="0" fontId="3" fillId="3" borderId="124" xfId="0" applyFont="1" applyFill="1" applyBorder="1" applyAlignment="1">
      <alignment horizontal="center"/>
    </xf>
    <xf numFmtId="0" fontId="3" fillId="3" borderId="125" xfId="0" applyFont="1" applyFill="1" applyBorder="1" applyAlignment="1">
      <alignment horizontal="center"/>
    </xf>
    <xf numFmtId="0" fontId="100" fillId="3" borderId="125" xfId="0" applyFont="1" applyFill="1" applyBorder="1" applyAlignment="1">
      <alignment horizontal="center" vertical="center"/>
    </xf>
    <xf numFmtId="164" fontId="39" fillId="3" borderId="125" xfId="0" quotePrefix="1" applyNumberFormat="1" applyFont="1" applyFill="1" applyBorder="1" applyAlignment="1">
      <alignment horizontal="center"/>
    </xf>
    <xf numFmtId="0" fontId="26" fillId="3" borderId="120" xfId="0" applyFont="1" applyFill="1" applyBorder="1" applyAlignment="1">
      <alignment vertical="center"/>
    </xf>
    <xf numFmtId="164" fontId="39" fillId="3" borderId="131" xfId="0" quotePrefix="1" applyNumberFormat="1" applyFont="1" applyFill="1" applyBorder="1" applyAlignment="1">
      <alignment horizontal="center"/>
    </xf>
    <xf numFmtId="0" fontId="117" fillId="4" borderId="0" xfId="0" applyFont="1" applyFill="1" applyAlignment="1">
      <alignment horizontal="center" vertical="center"/>
    </xf>
    <xf numFmtId="1" fontId="30" fillId="4" borderId="0" xfId="0" applyNumberFormat="1" applyFont="1" applyFill="1" applyAlignment="1">
      <alignment horizontal="center" vertical="center"/>
    </xf>
    <xf numFmtId="0" fontId="6" fillId="3" borderId="0" xfId="0" applyFont="1" applyFill="1" applyAlignment="1">
      <alignment horizontal="center"/>
    </xf>
    <xf numFmtId="0" fontId="4" fillId="3" borderId="119" xfId="0" applyFont="1" applyFill="1" applyBorder="1" applyAlignment="1">
      <alignment horizontal="center" vertical="center"/>
    </xf>
    <xf numFmtId="0" fontId="7" fillId="3" borderId="0" xfId="0" applyFont="1" applyFill="1" applyAlignment="1" applyProtection="1">
      <alignment horizontal="center" vertical="center"/>
      <protection locked="0"/>
    </xf>
    <xf numFmtId="0" fontId="6" fillId="3" borderId="0" xfId="0" applyFont="1" applyFill="1"/>
    <xf numFmtId="0" fontId="42" fillId="0" borderId="0" xfId="0" applyFont="1" applyAlignment="1">
      <alignment vertical="center"/>
    </xf>
    <xf numFmtId="0" fontId="4" fillId="3" borderId="125" xfId="0" applyFont="1" applyFill="1" applyBorder="1"/>
    <xf numFmtId="0" fontId="6" fillId="3" borderId="0" xfId="0" applyFont="1" applyFill="1" applyAlignment="1" applyProtection="1">
      <alignment horizontal="center" vertical="center"/>
      <protection locked="0"/>
    </xf>
    <xf numFmtId="0" fontId="6" fillId="3" borderId="0" xfId="0" applyFont="1" applyFill="1" applyAlignment="1" applyProtection="1">
      <alignment horizontal="center"/>
      <protection locked="0"/>
    </xf>
    <xf numFmtId="0" fontId="6" fillId="3" borderId="0" xfId="0" applyFont="1" applyFill="1" applyAlignment="1" applyProtection="1">
      <alignment vertical="center"/>
      <protection locked="0"/>
    </xf>
    <xf numFmtId="164" fontId="2" fillId="4" borderId="0" xfId="0" applyNumberFormat="1" applyFont="1" applyFill="1" applyAlignment="1">
      <alignment horizontal="right" vertical="center"/>
    </xf>
    <xf numFmtId="0" fontId="116" fillId="3" borderId="0" xfId="0" applyFont="1" applyFill="1" applyAlignment="1">
      <alignment vertical="center"/>
    </xf>
    <xf numFmtId="0" fontId="4" fillId="3" borderId="0" xfId="0" applyFont="1" applyFill="1" applyAlignment="1">
      <alignment horizontal="right"/>
    </xf>
    <xf numFmtId="0" fontId="115" fillId="3" borderId="0" xfId="0" applyFont="1" applyFill="1" applyAlignment="1">
      <alignment vertical="center"/>
    </xf>
    <xf numFmtId="164" fontId="115" fillId="3" borderId="0" xfId="0" applyNumberFormat="1" applyFont="1" applyFill="1" applyAlignment="1">
      <alignment vertical="center"/>
    </xf>
    <xf numFmtId="0" fontId="0" fillId="4" borderId="121" xfId="0" applyFill="1" applyBorder="1" applyAlignment="1">
      <alignment horizontal="center"/>
    </xf>
    <xf numFmtId="0" fontId="93" fillId="3" borderId="0" xfId="0" applyFont="1" applyFill="1" applyAlignment="1">
      <alignment vertical="center"/>
    </xf>
    <xf numFmtId="0" fontId="93" fillId="3" borderId="0" xfId="0" applyFont="1" applyFill="1" applyAlignment="1" applyProtection="1">
      <alignment vertical="center"/>
      <protection locked="0"/>
    </xf>
    <xf numFmtId="0" fontId="119" fillId="3" borderId="0" xfId="0" applyFont="1" applyFill="1" applyAlignment="1" applyProtection="1">
      <alignment vertical="center"/>
      <protection locked="0"/>
    </xf>
    <xf numFmtId="0" fontId="0" fillId="29" borderId="0" xfId="0" applyFill="1" applyAlignment="1">
      <alignment horizontal="center"/>
    </xf>
    <xf numFmtId="0" fontId="0" fillId="29" borderId="0" xfId="0" applyFill="1"/>
    <xf numFmtId="0" fontId="26" fillId="29" borderId="0" xfId="0" applyFont="1" applyFill="1" applyAlignment="1">
      <alignment vertical="center"/>
    </xf>
    <xf numFmtId="164" fontId="39" fillId="29" borderId="0" xfId="0" quotePrefix="1" applyNumberFormat="1" applyFont="1" applyFill="1" applyAlignment="1">
      <alignment horizontal="center"/>
    </xf>
    <xf numFmtId="0" fontId="79" fillId="29" borderId="0" xfId="0" applyFont="1" applyFill="1" applyAlignment="1" applyProtection="1">
      <alignment vertical="center"/>
      <protection locked="0"/>
    </xf>
    <xf numFmtId="0" fontId="15" fillId="29" borderId="0" xfId="0" applyFont="1" applyFill="1" applyAlignment="1">
      <alignment horizontal="center"/>
    </xf>
    <xf numFmtId="0" fontId="62" fillId="4" borderId="0" xfId="0" applyFont="1" applyFill="1" applyAlignment="1">
      <alignment vertical="center"/>
    </xf>
    <xf numFmtId="0" fontId="28" fillId="3" borderId="0" xfId="0" applyFont="1" applyFill="1" applyAlignment="1">
      <alignment horizontal="center"/>
    </xf>
    <xf numFmtId="0" fontId="28" fillId="3" borderId="0" xfId="0" applyFont="1" applyFill="1"/>
    <xf numFmtId="0" fontId="3" fillId="3" borderId="121" xfId="0" applyFont="1" applyFill="1" applyBorder="1"/>
    <xf numFmtId="44" fontId="109" fillId="3" borderId="122" xfId="0" applyNumberFormat="1" applyFont="1" applyFill="1" applyBorder="1" applyAlignment="1">
      <alignment horizontal="center" vertical="center"/>
    </xf>
    <xf numFmtId="0" fontId="3" fillId="3" borderId="121" xfId="0" applyFont="1" applyFill="1" applyBorder="1" applyAlignment="1">
      <alignment horizontal="center"/>
    </xf>
    <xf numFmtId="170" fontId="9" fillId="3" borderId="122" xfId="0" applyNumberFormat="1" applyFont="1" applyFill="1" applyBorder="1" applyAlignment="1">
      <alignment horizontal="center" vertical="center"/>
    </xf>
    <xf numFmtId="44" fontId="109" fillId="3" borderId="0" xfId="0" applyNumberFormat="1" applyFont="1" applyFill="1" applyAlignment="1">
      <alignment horizontal="center" vertical="center"/>
    </xf>
    <xf numFmtId="0" fontId="3" fillId="3" borderId="119" xfId="0" applyFont="1" applyFill="1" applyBorder="1" applyAlignment="1">
      <alignment horizontal="center"/>
    </xf>
    <xf numFmtId="164" fontId="4" fillId="3" borderId="121" xfId="0" applyNumberFormat="1" applyFont="1" applyFill="1" applyBorder="1" applyAlignment="1" applyProtection="1">
      <alignment horizontal="center" vertical="center"/>
      <protection locked="0"/>
    </xf>
    <xf numFmtId="0" fontId="3" fillId="3" borderId="121" xfId="0" applyFont="1" applyFill="1" applyBorder="1" applyAlignment="1" applyProtection="1">
      <alignment horizontal="center" vertical="center"/>
      <protection locked="0"/>
    </xf>
    <xf numFmtId="164" fontId="3" fillId="3" borderId="121" xfId="0" applyNumberFormat="1" applyFont="1" applyFill="1" applyBorder="1" applyAlignment="1" applyProtection="1">
      <alignment horizontal="center" vertical="center"/>
      <protection locked="0"/>
    </xf>
    <xf numFmtId="0" fontId="3" fillId="3" borderId="121" xfId="0" applyFont="1" applyFill="1" applyBorder="1" applyProtection="1">
      <protection locked="0"/>
    </xf>
    <xf numFmtId="164" fontId="4" fillId="0" borderId="124" xfId="0" applyNumberFormat="1" applyFont="1" applyBorder="1" applyAlignment="1">
      <alignment horizontal="center"/>
    </xf>
    <xf numFmtId="164" fontId="19" fillId="3" borderId="121" xfId="0" applyNumberFormat="1" applyFont="1" applyFill="1" applyBorder="1" applyAlignment="1" applyProtection="1">
      <alignment horizontal="center" vertical="center"/>
      <protection locked="0"/>
    </xf>
    <xf numFmtId="0" fontId="3" fillId="3" borderId="121" xfId="0" applyFont="1" applyFill="1" applyBorder="1" applyAlignment="1" applyProtection="1">
      <alignment horizontal="center"/>
      <protection locked="0"/>
    </xf>
    <xf numFmtId="0" fontId="3" fillId="3" borderId="121" xfId="0" applyFont="1" applyFill="1" applyBorder="1" applyAlignment="1" applyProtection="1">
      <alignment vertical="center"/>
      <protection locked="0"/>
    </xf>
    <xf numFmtId="164" fontId="4" fillId="3" borderId="124" xfId="0" applyNumberFormat="1" applyFont="1" applyFill="1" applyBorder="1" applyAlignment="1">
      <alignment horizontal="center"/>
    </xf>
    <xf numFmtId="0" fontId="0" fillId="4" borderId="120" xfId="0" applyFill="1" applyBorder="1" applyAlignment="1">
      <alignment horizontal="center"/>
    </xf>
    <xf numFmtId="0" fontId="0" fillId="4" borderId="122" xfId="0" applyFill="1" applyBorder="1" applyAlignment="1">
      <alignment horizontal="center"/>
    </xf>
    <xf numFmtId="0" fontId="17" fillId="4" borderId="121" xfId="0" applyFont="1" applyFill="1" applyBorder="1" applyAlignment="1">
      <alignment horizontal="center"/>
    </xf>
    <xf numFmtId="0" fontId="17" fillId="4" borderId="124" xfId="0" applyFont="1" applyFill="1" applyBorder="1" applyAlignment="1">
      <alignment horizontal="center"/>
    </xf>
    <xf numFmtId="0" fontId="0" fillId="4" borderId="125" xfId="0" applyFill="1" applyBorder="1" applyAlignment="1">
      <alignment horizontal="center"/>
    </xf>
    <xf numFmtId="0" fontId="0" fillId="4" borderId="131" xfId="0" applyFill="1" applyBorder="1" applyAlignment="1">
      <alignment horizontal="center"/>
    </xf>
    <xf numFmtId="0" fontId="0" fillId="4" borderId="119" xfId="0" applyFill="1" applyBorder="1" applyAlignment="1">
      <alignment vertical="center"/>
    </xf>
    <xf numFmtId="0" fontId="0" fillId="4" borderId="119" xfId="0" applyFill="1" applyBorder="1" applyAlignment="1">
      <alignment horizontal="center"/>
    </xf>
    <xf numFmtId="0" fontId="0" fillId="4" borderId="119" xfId="0" applyFill="1" applyBorder="1"/>
    <xf numFmtId="0" fontId="0" fillId="4" borderId="120" xfId="0" applyFill="1" applyBorder="1" applyAlignment="1">
      <alignment vertical="center"/>
    </xf>
    <xf numFmtId="0" fontId="0" fillId="4" borderId="122" xfId="0" applyFill="1" applyBorder="1"/>
    <xf numFmtId="0" fontId="4" fillId="4" borderId="0" xfId="0" applyFont="1" applyFill="1"/>
    <xf numFmtId="0" fontId="4" fillId="4" borderId="121" xfId="0" applyFont="1" applyFill="1" applyBorder="1" applyAlignment="1">
      <alignment horizontal="center"/>
    </xf>
    <xf numFmtId="0" fontId="86" fillId="4" borderId="0" xfId="0" applyFont="1" applyFill="1" applyAlignment="1">
      <alignment horizontal="right"/>
    </xf>
    <xf numFmtId="0" fontId="0" fillId="4" borderId="124" xfId="0" applyFill="1" applyBorder="1" applyAlignment="1">
      <alignment horizontal="center"/>
    </xf>
    <xf numFmtId="0" fontId="0" fillId="4" borderId="131" xfId="0" applyFill="1" applyBorder="1"/>
    <xf numFmtId="0" fontId="20" fillId="4" borderId="137" xfId="0" applyFont="1" applyFill="1" applyBorder="1" applyAlignment="1">
      <alignment vertical="center"/>
    </xf>
    <xf numFmtId="0" fontId="7" fillId="41" borderId="115" xfId="0" applyFont="1" applyFill="1" applyBorder="1" applyAlignment="1">
      <alignment horizontal="center"/>
    </xf>
    <xf numFmtId="0" fontId="6" fillId="41" borderId="116" xfId="0" applyFont="1" applyFill="1" applyBorder="1" applyAlignment="1">
      <alignment horizontal="center"/>
    </xf>
    <xf numFmtId="0" fontId="0" fillId="41" borderId="116" xfId="0" applyFill="1" applyBorder="1" applyAlignment="1">
      <alignment vertical="center"/>
    </xf>
    <xf numFmtId="0" fontId="7" fillId="41" borderId="116" xfId="0" applyFont="1" applyFill="1" applyBorder="1" applyAlignment="1">
      <alignment horizontal="center" vertical="center"/>
    </xf>
    <xf numFmtId="1" fontId="122" fillId="4" borderId="115" xfId="0" quotePrefix="1" applyNumberFormat="1" applyFont="1" applyFill="1" applyBorder="1" applyAlignment="1">
      <alignment horizontal="center"/>
    </xf>
    <xf numFmtId="1" fontId="122" fillId="4" borderId="116" xfId="0" quotePrefix="1" applyNumberFormat="1" applyFont="1" applyFill="1" applyBorder="1" applyAlignment="1">
      <alignment horizontal="center"/>
    </xf>
    <xf numFmtId="0" fontId="7" fillId="41" borderId="27" xfId="0" applyFont="1" applyFill="1" applyBorder="1" applyAlignment="1">
      <alignment horizontal="center" vertical="center"/>
    </xf>
    <xf numFmtId="0" fontId="7" fillId="41" borderId="29" xfId="0" applyFont="1" applyFill="1" applyBorder="1" applyAlignment="1">
      <alignment vertical="center"/>
    </xf>
    <xf numFmtId="0" fontId="7" fillId="32" borderId="119" xfId="0" applyFont="1" applyFill="1" applyBorder="1" applyAlignment="1">
      <alignment horizontal="center" vertical="center"/>
    </xf>
    <xf numFmtId="44" fontId="111" fillId="4" borderId="0" xfId="2" applyFont="1" applyFill="1" applyBorder="1" applyAlignment="1" applyProtection="1">
      <alignment horizontal="center" vertical="center"/>
    </xf>
    <xf numFmtId="2" fontId="111" fillId="4" borderId="0" xfId="2" applyNumberFormat="1" applyFont="1" applyFill="1" applyBorder="1" applyAlignment="1" applyProtection="1">
      <alignment horizontal="center" vertical="center"/>
    </xf>
    <xf numFmtId="0" fontId="0" fillId="0" borderId="0" xfId="0" applyAlignment="1">
      <alignment vertical="top" wrapText="1"/>
    </xf>
    <xf numFmtId="0" fontId="0" fillId="4" borderId="0" xfId="0" applyFill="1" applyAlignment="1">
      <alignment horizontal="left"/>
    </xf>
    <xf numFmtId="0" fontId="100" fillId="3" borderId="0" xfId="0" applyFont="1" applyFill="1" applyAlignment="1">
      <alignment horizontal="left" vertical="center"/>
    </xf>
    <xf numFmtId="164" fontId="100" fillId="3" borderId="0" xfId="2" applyNumberFormat="1" applyFont="1" applyFill="1" applyBorder="1" applyAlignment="1" applyProtection="1">
      <alignment horizontal="left" vertical="center"/>
    </xf>
    <xf numFmtId="164" fontId="6" fillId="3" borderId="121" xfId="0" applyNumberFormat="1" applyFont="1" applyFill="1" applyBorder="1"/>
    <xf numFmtId="164" fontId="6" fillId="3" borderId="121" xfId="0" applyNumberFormat="1" applyFont="1" applyFill="1" applyBorder="1" applyAlignment="1">
      <alignment horizontal="center"/>
    </xf>
    <xf numFmtId="0" fontId="7" fillId="22" borderId="121" xfId="0" applyFont="1" applyFill="1" applyBorder="1" applyAlignment="1">
      <alignment horizontal="right" vertical="center"/>
    </xf>
    <xf numFmtId="0" fontId="2" fillId="5" borderId="0" xfId="0" applyFont="1" applyFill="1"/>
    <xf numFmtId="0" fontId="35" fillId="5" borderId="0" xfId="0" quotePrefix="1" applyFont="1" applyFill="1"/>
    <xf numFmtId="0" fontId="0" fillId="36" borderId="141" xfId="0" applyFill="1" applyBorder="1"/>
    <xf numFmtId="0" fontId="0" fillId="36" borderId="142" xfId="0" applyFill="1" applyBorder="1"/>
    <xf numFmtId="0" fontId="0" fillId="4" borderId="141" xfId="0" applyFill="1" applyBorder="1"/>
    <xf numFmtId="0" fontId="0" fillId="4" borderId="142" xfId="0" applyFill="1" applyBorder="1"/>
    <xf numFmtId="0" fontId="0" fillId="36" borderId="136" xfId="0" applyFill="1" applyBorder="1"/>
    <xf numFmtId="0" fontId="0" fillId="36" borderId="132" xfId="0" applyFill="1" applyBorder="1"/>
    <xf numFmtId="0" fontId="0" fillId="4" borderId="136" xfId="0" applyFill="1" applyBorder="1"/>
    <xf numFmtId="0" fontId="16" fillId="36" borderId="142" xfId="0" quotePrefix="1" applyFont="1" applyFill="1" applyBorder="1"/>
    <xf numFmtId="0" fontId="16" fillId="36" borderId="143" xfId="0" quotePrefix="1" applyFont="1" applyFill="1" applyBorder="1"/>
    <xf numFmtId="0" fontId="16" fillId="36" borderId="136" xfId="0" quotePrefix="1" applyFont="1" applyFill="1" applyBorder="1"/>
    <xf numFmtId="0" fontId="16" fillId="36" borderId="132" xfId="0" quotePrefix="1" applyFont="1" applyFill="1" applyBorder="1"/>
    <xf numFmtId="0" fontId="16" fillId="4" borderId="142" xfId="0" quotePrefix="1" applyFont="1" applyFill="1" applyBorder="1"/>
    <xf numFmtId="0" fontId="16" fillId="4" borderId="143" xfId="0" quotePrefix="1" applyFont="1" applyFill="1" applyBorder="1"/>
    <xf numFmtId="0" fontId="87" fillId="0" borderId="104" xfId="0" applyFont="1" applyBorder="1" applyAlignment="1">
      <alignment horizontal="center"/>
    </xf>
    <xf numFmtId="0" fontId="0" fillId="0" borderId="107" xfId="0" quotePrefix="1" applyBorder="1" applyAlignment="1">
      <alignment horizontal="center"/>
    </xf>
    <xf numFmtId="0" fontId="0" fillId="0" borderId="109" xfId="0" quotePrefix="1" applyBorder="1" applyAlignment="1">
      <alignment horizontal="center"/>
    </xf>
    <xf numFmtId="0" fontId="0" fillId="36" borderId="132" xfId="0" quotePrefix="1" applyFill="1" applyBorder="1"/>
    <xf numFmtId="0" fontId="16" fillId="4" borderId="132" xfId="0" quotePrefix="1" applyFont="1" applyFill="1" applyBorder="1"/>
    <xf numFmtId="0" fontId="14" fillId="0" borderId="0" xfId="0" applyFont="1"/>
    <xf numFmtId="0" fontId="0" fillId="4" borderId="125" xfId="0" applyFill="1" applyBorder="1" applyAlignment="1">
      <alignment horizontal="center" vertical="center"/>
    </xf>
    <xf numFmtId="164" fontId="7" fillId="3" borderId="0" xfId="0" applyNumberFormat="1" applyFont="1" applyFill="1" applyAlignment="1" applyProtection="1">
      <alignment horizontal="center" vertical="center"/>
      <protection locked="0"/>
    </xf>
    <xf numFmtId="164" fontId="6" fillId="3" borderId="0" xfId="0" applyNumberFormat="1" applyFont="1" applyFill="1" applyAlignment="1" applyProtection="1">
      <alignment horizontal="center" vertical="center"/>
      <protection locked="0"/>
    </xf>
    <xf numFmtId="0" fontId="6" fillId="3" borderId="0" xfId="0" applyFont="1" applyFill="1" applyProtection="1">
      <protection locked="0"/>
    </xf>
    <xf numFmtId="2" fontId="7" fillId="32" borderId="119" xfId="0" applyNumberFormat="1" applyFont="1" applyFill="1" applyBorder="1" applyAlignment="1">
      <alignment horizontal="center" vertical="center"/>
    </xf>
    <xf numFmtId="1" fontId="9" fillId="3" borderId="121" xfId="2" applyNumberFormat="1" applyFont="1" applyFill="1" applyBorder="1" applyAlignment="1" applyProtection="1">
      <alignment horizontal="center" vertical="center"/>
      <protection locked="0"/>
    </xf>
    <xf numFmtId="0" fontId="13" fillId="3" borderId="120" xfId="0" applyFont="1" applyFill="1" applyBorder="1" applyAlignment="1">
      <alignment horizontal="center" vertical="center"/>
    </xf>
    <xf numFmtId="0" fontId="2" fillId="42" borderId="136" xfId="0" applyFont="1" applyFill="1" applyBorder="1"/>
    <xf numFmtId="0" fontId="2" fillId="42" borderId="141" xfId="0" applyFont="1" applyFill="1" applyBorder="1"/>
    <xf numFmtId="0" fontId="2" fillId="42" borderId="144" xfId="0" applyFont="1" applyFill="1" applyBorder="1"/>
    <xf numFmtId="0" fontId="2" fillId="29" borderId="141" xfId="0" quotePrefix="1" applyFont="1" applyFill="1" applyBorder="1"/>
    <xf numFmtId="0" fontId="2" fillId="29" borderId="136" xfId="0" applyFont="1" applyFill="1" applyBorder="1"/>
    <xf numFmtId="2" fontId="4" fillId="4" borderId="0" xfId="0" applyNumberFormat="1" applyFont="1" applyFill="1" applyAlignment="1">
      <alignment horizontal="center" vertical="center"/>
    </xf>
    <xf numFmtId="2" fontId="0" fillId="0" borderId="0" xfId="0" applyNumberFormat="1" applyAlignment="1">
      <alignment horizontal="center" vertical="center"/>
    </xf>
    <xf numFmtId="164" fontId="0" fillId="0" borderId="0" xfId="0" applyNumberFormat="1" applyAlignment="1">
      <alignment horizontal="center" vertical="center"/>
    </xf>
    <xf numFmtId="2" fontId="0" fillId="6" borderId="0" xfId="0" applyNumberFormat="1" applyFill="1" applyAlignment="1">
      <alignment horizontal="center" vertical="center"/>
    </xf>
    <xf numFmtId="164" fontId="0" fillId="6" borderId="0" xfId="0" applyNumberFormat="1" applyFill="1" applyAlignment="1">
      <alignment horizontal="center" vertical="center"/>
    </xf>
    <xf numFmtId="164" fontId="0" fillId="2" borderId="0" xfId="0" applyNumberFormat="1" applyFill="1" applyAlignment="1">
      <alignment horizontal="center" vertical="center"/>
    </xf>
    <xf numFmtId="1" fontId="0" fillId="6" borderId="0" xfId="0" applyNumberFormat="1" applyFill="1" applyAlignment="1">
      <alignment horizontal="center" vertical="center"/>
    </xf>
    <xf numFmtId="164" fontId="0" fillId="5" borderId="0" xfId="0" applyNumberFormat="1" applyFill="1" applyAlignment="1">
      <alignment horizontal="center" vertical="center"/>
    </xf>
    <xf numFmtId="0" fontId="0" fillId="6" borderId="0" xfId="0" applyFill="1" applyAlignment="1">
      <alignment horizontal="center" vertical="center"/>
    </xf>
    <xf numFmtId="1" fontId="0" fillId="0" borderId="0" xfId="0" applyNumberFormat="1" applyAlignment="1">
      <alignment horizontal="center" vertical="center"/>
    </xf>
    <xf numFmtId="2" fontId="0" fillId="2" borderId="0" xfId="0" applyNumberFormat="1" applyFill="1" applyAlignment="1">
      <alignment horizontal="center" vertical="center"/>
    </xf>
    <xf numFmtId="1" fontId="0" fillId="4" borderId="0" xfId="0" applyNumberFormat="1" applyFill="1" applyAlignment="1" applyProtection="1">
      <alignment horizontal="center" vertical="center"/>
      <protection locked="0"/>
    </xf>
    <xf numFmtId="0" fontId="2" fillId="0" borderId="0" xfId="0" quotePrefix="1" applyFont="1" applyAlignment="1">
      <alignment horizontal="center" vertical="center"/>
    </xf>
    <xf numFmtId="0" fontId="2" fillId="0" borderId="0" xfId="0" applyFont="1" applyAlignment="1">
      <alignment horizontal="center" vertical="center"/>
    </xf>
    <xf numFmtId="9" fontId="0" fillId="0" borderId="0" xfId="0" applyNumberFormat="1" applyAlignment="1">
      <alignment horizontal="center" vertical="center"/>
    </xf>
    <xf numFmtId="9" fontId="0" fillId="0" borderId="0" xfId="1" applyFont="1" applyAlignment="1" applyProtection="1">
      <alignment horizontal="center" vertical="center"/>
    </xf>
    <xf numFmtId="1" fontId="0" fillId="8" borderId="0" xfId="0" applyNumberFormat="1" applyFill="1" applyAlignment="1">
      <alignment horizontal="center" vertical="center"/>
    </xf>
    <xf numFmtId="0" fontId="112" fillId="0" borderId="0" xfId="0" applyFont="1" applyAlignment="1">
      <alignment horizontal="center" vertical="center"/>
    </xf>
    <xf numFmtId="0" fontId="0" fillId="0" borderId="0" xfId="0" quotePrefix="1" applyAlignment="1">
      <alignment horizontal="center" vertical="center"/>
    </xf>
    <xf numFmtId="0" fontId="7" fillId="0" borderId="0" xfId="0" applyFont="1"/>
    <xf numFmtId="0" fontId="22" fillId="28" borderId="0" xfId="0" applyFont="1" applyFill="1"/>
    <xf numFmtId="0" fontId="17" fillId="28" borderId="0" xfId="0" applyFont="1" applyFill="1" applyAlignment="1">
      <alignment horizontal="center"/>
    </xf>
    <xf numFmtId="1" fontId="4" fillId="18" borderId="126" xfId="0" applyNumberFormat="1" applyFont="1" applyFill="1" applyBorder="1" applyAlignment="1">
      <alignment horizontal="center" vertical="center"/>
    </xf>
    <xf numFmtId="0" fontId="43" fillId="3" borderId="0" xfId="0" applyFont="1" applyFill="1" applyAlignment="1">
      <alignment horizontal="center" vertical="center"/>
    </xf>
    <xf numFmtId="0" fontId="86" fillId="4" borderId="0" xfId="0" applyFont="1" applyFill="1" applyAlignment="1">
      <alignment horizontal="center" vertical="center"/>
    </xf>
    <xf numFmtId="0" fontId="43" fillId="3" borderId="0" xfId="0" applyFont="1" applyFill="1" applyAlignment="1">
      <alignment horizontal="center" vertical="center" wrapText="1"/>
    </xf>
    <xf numFmtId="0" fontId="4" fillId="28" borderId="121" xfId="0" applyFont="1" applyFill="1" applyBorder="1" applyAlignment="1">
      <alignment vertical="center"/>
    </xf>
    <xf numFmtId="0" fontId="4" fillId="28" borderId="0" xfId="0" applyFont="1" applyFill="1" applyAlignment="1">
      <alignment horizontal="center"/>
    </xf>
    <xf numFmtId="0" fontId="4" fillId="0" borderId="121" xfId="0" applyFont="1" applyBorder="1" applyAlignment="1">
      <alignment horizontal="left" vertical="center"/>
    </xf>
    <xf numFmtId="164" fontId="125" fillId="4" borderId="0" xfId="0" quotePrefix="1" applyNumberFormat="1" applyFont="1" applyFill="1" applyAlignment="1">
      <alignment horizontal="left"/>
    </xf>
    <xf numFmtId="1" fontId="126" fillId="4" borderId="0" xfId="0" applyNumberFormat="1" applyFont="1" applyFill="1" applyAlignment="1">
      <alignment horizontal="center" vertical="center"/>
    </xf>
    <xf numFmtId="2" fontId="126" fillId="4" borderId="0" xfId="0" applyNumberFormat="1" applyFont="1" applyFill="1" applyAlignment="1">
      <alignment horizontal="center" vertical="center"/>
    </xf>
    <xf numFmtId="166" fontId="0" fillId="3" borderId="0" xfId="0" applyNumberFormat="1" applyFill="1" applyAlignment="1">
      <alignment horizontal="center"/>
    </xf>
    <xf numFmtId="0" fontId="0" fillId="0" borderId="0" xfId="0" applyAlignment="1">
      <alignment vertical="top"/>
    </xf>
    <xf numFmtId="164" fontId="7" fillId="3" borderId="0" xfId="2" applyNumberFormat="1" applyFont="1" applyFill="1" applyBorder="1" applyAlignment="1" applyProtection="1">
      <alignment horizontal="center" vertical="center"/>
      <protection locked="0"/>
    </xf>
    <xf numFmtId="164" fontId="68" fillId="3" borderId="0" xfId="0" applyNumberFormat="1" applyFont="1" applyFill="1" applyAlignment="1" applyProtection="1">
      <alignment horizontal="center" vertical="center"/>
      <protection locked="0"/>
    </xf>
    <xf numFmtId="164" fontId="7" fillId="3" borderId="0" xfId="2" applyNumberFormat="1" applyFont="1" applyFill="1" applyBorder="1" applyAlignment="1" applyProtection="1">
      <alignment horizontal="center" vertical="center" wrapText="1"/>
      <protection locked="0"/>
    </xf>
    <xf numFmtId="1" fontId="68" fillId="3" borderId="0" xfId="0" applyNumberFormat="1" applyFont="1" applyFill="1" applyAlignment="1" applyProtection="1">
      <alignment horizontal="center" vertical="center"/>
      <protection locked="0"/>
    </xf>
    <xf numFmtId="0" fontId="6" fillId="3" borderId="125" xfId="0" applyFont="1" applyFill="1" applyBorder="1" applyAlignment="1" applyProtection="1">
      <alignment vertical="center"/>
      <protection locked="0"/>
    </xf>
    <xf numFmtId="1" fontId="33" fillId="3" borderId="0" xfId="1" applyNumberFormat="1" applyFont="1" applyFill="1" applyAlignment="1" applyProtection="1">
      <alignment horizontal="center"/>
    </xf>
    <xf numFmtId="0" fontId="0" fillId="0" borderId="0" xfId="0" applyAlignment="1">
      <alignment wrapText="1"/>
    </xf>
    <xf numFmtId="164" fontId="4" fillId="4" borderId="0" xfId="0" applyNumberFormat="1" applyFont="1" applyFill="1" applyAlignment="1">
      <alignment horizontal="center" vertical="center"/>
    </xf>
    <xf numFmtId="0" fontId="37" fillId="4" borderId="0" xfId="0" applyFont="1" applyFill="1" applyAlignment="1">
      <alignment horizontal="center" vertical="center"/>
    </xf>
    <xf numFmtId="2" fontId="0" fillId="4" borderId="0" xfId="0" applyNumberFormat="1" applyFill="1"/>
    <xf numFmtId="1" fontId="9" fillId="30" borderId="85" xfId="2" applyNumberFormat="1" applyFont="1" applyFill="1" applyBorder="1" applyAlignment="1" applyProtection="1">
      <alignment horizontal="center" vertical="center"/>
      <protection locked="0"/>
    </xf>
    <xf numFmtId="0" fontId="0" fillId="46" borderId="0" xfId="0" quotePrefix="1" applyFill="1"/>
    <xf numFmtId="9" fontId="0" fillId="46" borderId="0" xfId="0" applyNumberFormat="1" applyFill="1" applyAlignment="1">
      <alignment horizontal="center" vertical="center"/>
    </xf>
    <xf numFmtId="164" fontId="0" fillId="0" borderId="0" xfId="0" applyNumberFormat="1"/>
    <xf numFmtId="0" fontId="2" fillId="42" borderId="0" xfId="0" applyFont="1" applyFill="1"/>
    <xf numFmtId="0" fontId="16" fillId="0" borderId="0" xfId="0" quotePrefix="1" applyFont="1"/>
    <xf numFmtId="9" fontId="0" fillId="0" borderId="0" xfId="0" applyNumberFormat="1"/>
    <xf numFmtId="0" fontId="42" fillId="7" borderId="0" xfId="0" applyFont="1" applyFill="1" applyAlignment="1">
      <alignment horizontal="center"/>
    </xf>
    <xf numFmtId="0" fontId="42" fillId="36" borderId="0" xfId="0" applyFont="1" applyFill="1" applyAlignment="1">
      <alignment horizontal="center" vertical="center"/>
    </xf>
    <xf numFmtId="0" fontId="0" fillId="0" borderId="141" xfId="0" applyBorder="1"/>
    <xf numFmtId="0" fontId="0" fillId="38" borderId="0" xfId="0" applyFill="1" applyAlignment="1">
      <alignment horizontal="center"/>
    </xf>
    <xf numFmtId="0" fontId="0" fillId="38" borderId="0" xfId="0" applyFill="1" applyAlignment="1">
      <alignment horizontal="center" vertical="center"/>
    </xf>
    <xf numFmtId="1" fontId="131" fillId="38" borderId="0" xfId="0" applyNumberFormat="1" applyFont="1" applyFill="1" applyAlignment="1">
      <alignment horizontal="center" vertical="center"/>
    </xf>
    <xf numFmtId="1" fontId="0" fillId="38" borderId="148" xfId="0" applyNumberFormat="1" applyFill="1" applyBorder="1" applyAlignment="1">
      <alignment horizontal="center" vertical="center"/>
    </xf>
    <xf numFmtId="0" fontId="120" fillId="38" borderId="0" xfId="0" applyFont="1" applyFill="1" applyAlignment="1">
      <alignment horizontal="center" vertical="center"/>
    </xf>
    <xf numFmtId="1" fontId="0" fillId="38" borderId="0" xfId="0" applyNumberFormat="1" applyFill="1" applyAlignment="1">
      <alignment horizontal="center" vertical="center"/>
    </xf>
    <xf numFmtId="164" fontId="0" fillId="3" borderId="0" xfId="0" applyNumberFormat="1" applyFill="1" applyAlignment="1">
      <alignment horizontal="center" vertical="center" wrapText="1"/>
    </xf>
    <xf numFmtId="0" fontId="6" fillId="3" borderId="0" xfId="0" applyFont="1" applyFill="1" applyAlignment="1">
      <alignment wrapText="1"/>
    </xf>
    <xf numFmtId="164" fontId="6" fillId="3" borderId="0" xfId="0" applyNumberFormat="1" applyFont="1" applyFill="1" applyAlignment="1">
      <alignment horizontal="center" vertical="center" wrapText="1"/>
    </xf>
    <xf numFmtId="0" fontId="4" fillId="3" borderId="0" xfId="0" applyFont="1" applyFill="1" applyAlignment="1">
      <alignment horizontal="left" wrapText="1"/>
    </xf>
    <xf numFmtId="0" fontId="2" fillId="3" borderId="0" xfId="0" applyFont="1" applyFill="1" applyAlignment="1">
      <alignment horizontal="center" vertical="center" wrapText="1"/>
    </xf>
    <xf numFmtId="0" fontId="7" fillId="3" borderId="0" xfId="0" applyFont="1" applyFill="1" applyAlignment="1">
      <alignment horizontal="center" vertical="center" wrapText="1"/>
    </xf>
    <xf numFmtId="0" fontId="2" fillId="3" borderId="0" xfId="0" applyFont="1" applyFill="1" applyAlignment="1" applyProtection="1">
      <alignment horizontal="center" vertical="center" wrapText="1"/>
      <protection locked="0"/>
    </xf>
    <xf numFmtId="0" fontId="6" fillId="3" borderId="99" xfId="0" applyFont="1" applyFill="1" applyBorder="1" applyAlignment="1" applyProtection="1">
      <alignment horizontal="center" vertical="center" wrapText="1"/>
      <protection locked="0"/>
    </xf>
    <xf numFmtId="0" fontId="2" fillId="3" borderId="0" xfId="0" applyFont="1" applyFill="1" applyAlignment="1" applyProtection="1">
      <alignment wrapText="1"/>
      <protection locked="0"/>
    </xf>
    <xf numFmtId="0" fontId="7" fillId="3" borderId="0" xfId="0" applyFont="1" applyFill="1" applyAlignment="1" applyProtection="1">
      <alignment wrapText="1"/>
      <protection locked="0"/>
    </xf>
    <xf numFmtId="0" fontId="6" fillId="3" borderId="0" xfId="0" applyFont="1" applyFill="1" applyAlignment="1" applyProtection="1">
      <alignment horizontal="center" vertical="center" wrapText="1"/>
      <protection locked="0"/>
    </xf>
    <xf numFmtId="0" fontId="4" fillId="3" borderId="0" xfId="0" applyFont="1" applyFill="1" applyAlignment="1" applyProtection="1">
      <alignment horizontal="left" wrapText="1"/>
      <protection locked="0"/>
    </xf>
    <xf numFmtId="0" fontId="0" fillId="3" borderId="0" xfId="0" applyFill="1" applyAlignment="1" applyProtection="1">
      <alignment horizontal="center" wrapText="1"/>
      <protection locked="0"/>
    </xf>
    <xf numFmtId="0" fontId="6" fillId="3" borderId="0" xfId="0" applyFont="1" applyFill="1" applyAlignment="1" applyProtection="1">
      <alignment horizontal="center" wrapText="1"/>
      <protection locked="0"/>
    </xf>
    <xf numFmtId="0" fontId="6" fillId="3" borderId="0" xfId="0" applyFont="1" applyFill="1" applyAlignment="1" applyProtection="1">
      <alignment vertical="center" wrapText="1"/>
      <protection locked="0"/>
    </xf>
    <xf numFmtId="0" fontId="26" fillId="3" borderId="19" xfId="0" applyFont="1" applyFill="1" applyBorder="1" applyAlignment="1">
      <alignment vertical="center"/>
    </xf>
    <xf numFmtId="164" fontId="9" fillId="48" borderId="116" xfId="2" applyNumberFormat="1" applyFont="1" applyFill="1" applyBorder="1" applyAlignment="1" applyProtection="1">
      <alignment horizontal="center" vertical="center"/>
    </xf>
    <xf numFmtId="164" fontId="9" fillId="48" borderId="91" xfId="0" applyNumberFormat="1" applyFont="1" applyFill="1" applyBorder="1" applyAlignment="1">
      <alignment horizontal="center" vertical="center"/>
    </xf>
    <xf numFmtId="164" fontId="9" fillId="48" borderId="85" xfId="2" applyNumberFormat="1" applyFont="1" applyFill="1" applyBorder="1" applyAlignment="1" applyProtection="1">
      <alignment horizontal="center" vertical="center"/>
    </xf>
    <xf numFmtId="0" fontId="99" fillId="3" borderId="0" xfId="0" applyFont="1" applyFill="1" applyAlignment="1">
      <alignment horizontal="center" vertical="center"/>
    </xf>
    <xf numFmtId="0" fontId="4" fillId="3" borderId="0" xfId="0" applyFont="1" applyFill="1" applyAlignment="1">
      <alignment horizontal="left" vertical="center"/>
    </xf>
    <xf numFmtId="0" fontId="79" fillId="30" borderId="30" xfId="0" applyFont="1" applyFill="1" applyBorder="1" applyAlignment="1">
      <alignment horizontal="center" vertical="center"/>
    </xf>
    <xf numFmtId="164" fontId="53" fillId="3" borderId="0" xfId="0" applyNumberFormat="1" applyFont="1" applyFill="1" applyAlignment="1">
      <alignment horizontal="center" vertical="center"/>
    </xf>
    <xf numFmtId="0" fontId="7" fillId="37" borderId="0" xfId="0" applyFont="1" applyFill="1" applyAlignment="1">
      <alignment horizontal="center" vertical="center" wrapText="1"/>
    </xf>
    <xf numFmtId="0" fontId="62" fillId="32" borderId="118" xfId="0" applyFont="1" applyFill="1" applyBorder="1" applyAlignment="1">
      <alignment horizontal="left" vertical="center"/>
    </xf>
    <xf numFmtId="0" fontId="62" fillId="32" borderId="119" xfId="0" applyFont="1" applyFill="1" applyBorder="1" applyAlignment="1">
      <alignment horizontal="left" vertical="center"/>
    </xf>
    <xf numFmtId="14" fontId="9" fillId="8" borderId="149" xfId="2" applyNumberFormat="1" applyFont="1" applyFill="1" applyBorder="1" applyAlignment="1" applyProtection="1">
      <alignment horizontal="center" vertical="center"/>
      <protection locked="0"/>
    </xf>
    <xf numFmtId="1" fontId="9" fillId="8" borderId="149" xfId="2" applyNumberFormat="1" applyFont="1" applyFill="1" applyBorder="1" applyAlignment="1" applyProtection="1">
      <alignment horizontal="center" vertical="center"/>
      <protection locked="0"/>
    </xf>
    <xf numFmtId="173" fontId="4" fillId="4" borderId="26" xfId="4" applyNumberFormat="1" applyFont="1" applyFill="1" applyBorder="1" applyAlignment="1" applyProtection="1">
      <alignment horizontal="center" vertical="center"/>
    </xf>
    <xf numFmtId="9" fontId="136" fillId="4" borderId="0" xfId="1" applyFont="1" applyFill="1" applyBorder="1" applyAlignment="1" applyProtection="1">
      <alignment horizontal="left" vertical="center"/>
    </xf>
    <xf numFmtId="0" fontId="0" fillId="3" borderId="162" xfId="0" applyFill="1" applyBorder="1"/>
    <xf numFmtId="0" fontId="0" fillId="0" borderId="162" xfId="0" applyBorder="1"/>
    <xf numFmtId="0" fontId="0" fillId="3" borderId="163" xfId="0" applyFill="1" applyBorder="1"/>
    <xf numFmtId="164" fontId="33" fillId="3" borderId="165" xfId="0" applyNumberFormat="1" applyFont="1" applyFill="1" applyBorder="1" applyAlignment="1">
      <alignment horizontal="center"/>
    </xf>
    <xf numFmtId="166" fontId="33" fillId="3" borderId="165" xfId="0" applyNumberFormat="1" applyFont="1" applyFill="1" applyBorder="1" applyAlignment="1">
      <alignment horizontal="center"/>
    </xf>
    <xf numFmtId="166" fontId="0" fillId="3" borderId="165" xfId="0" applyNumberFormat="1" applyFill="1" applyBorder="1" applyAlignment="1">
      <alignment horizontal="center"/>
    </xf>
    <xf numFmtId="2" fontId="0" fillId="3" borderId="0" xfId="0" applyNumberFormat="1" applyFill="1" applyAlignment="1">
      <alignment horizontal="center"/>
    </xf>
    <xf numFmtId="2" fontId="0" fillId="3" borderId="165" xfId="0" applyNumberFormat="1" applyFill="1" applyBorder="1" applyAlignment="1">
      <alignment horizontal="center"/>
    </xf>
    <xf numFmtId="1" fontId="0" fillId="3" borderId="167" xfId="0" applyNumberFormat="1" applyFill="1" applyBorder="1" applyAlignment="1">
      <alignment horizontal="center"/>
    </xf>
    <xf numFmtId="0" fontId="0" fillId="3" borderId="167" xfId="0" applyFill="1" applyBorder="1" applyAlignment="1">
      <alignment horizontal="center"/>
    </xf>
    <xf numFmtId="1" fontId="0" fillId="3" borderId="168" xfId="0" applyNumberFormat="1" applyFill="1" applyBorder="1" applyAlignment="1">
      <alignment horizontal="center"/>
    </xf>
    <xf numFmtId="0" fontId="3" fillId="3" borderId="161" xfId="0" applyFont="1" applyFill="1" applyBorder="1" applyAlignment="1">
      <alignment horizontal="center"/>
    </xf>
    <xf numFmtId="0" fontId="129" fillId="3" borderId="162" xfId="0" applyFont="1" applyFill="1" applyBorder="1"/>
    <xf numFmtId="0" fontId="3" fillId="3" borderId="164" xfId="0" applyFont="1" applyFill="1" applyBorder="1" applyAlignment="1">
      <alignment horizontal="center"/>
    </xf>
    <xf numFmtId="0" fontId="0" fillId="3" borderId="165" xfId="0" applyFill="1" applyBorder="1"/>
    <xf numFmtId="0" fontId="3" fillId="3" borderId="164" xfId="0" quotePrefix="1" applyFont="1" applyFill="1" applyBorder="1" applyAlignment="1">
      <alignment horizontal="center"/>
    </xf>
    <xf numFmtId="0" fontId="34" fillId="3" borderId="165" xfId="0" applyFont="1" applyFill="1" applyBorder="1" applyAlignment="1">
      <alignment horizontal="center"/>
    </xf>
    <xf numFmtId="0" fontId="33" fillId="3" borderId="165" xfId="0" applyFont="1" applyFill="1" applyBorder="1" applyAlignment="1">
      <alignment horizontal="center"/>
    </xf>
    <xf numFmtId="0" fontId="0" fillId="0" borderId="164" xfId="0" applyBorder="1"/>
    <xf numFmtId="164" fontId="34" fillId="3" borderId="165" xfId="0" applyNumberFormat="1" applyFont="1" applyFill="1" applyBorder="1" applyAlignment="1">
      <alignment horizontal="center"/>
    </xf>
    <xf numFmtId="1" fontId="34" fillId="3" borderId="165" xfId="0" applyNumberFormat="1" applyFont="1" applyFill="1" applyBorder="1" applyAlignment="1">
      <alignment horizontal="center"/>
    </xf>
    <xf numFmtId="164" fontId="3" fillId="0" borderId="165" xfId="0" applyNumberFormat="1" applyFont="1" applyBorder="1" applyAlignment="1">
      <alignment horizontal="center"/>
    </xf>
    <xf numFmtId="0" fontId="0" fillId="0" borderId="166" xfId="0" applyBorder="1"/>
    <xf numFmtId="0" fontId="0" fillId="0" borderId="167" xfId="0" applyBorder="1"/>
    <xf numFmtId="0" fontId="0" fillId="0" borderId="168" xfId="0" applyBorder="1"/>
    <xf numFmtId="0" fontId="0" fillId="0" borderId="161" xfId="0" applyBorder="1" applyAlignment="1">
      <alignment vertical="center"/>
    </xf>
    <xf numFmtId="0" fontId="15" fillId="0" borderId="162" xfId="0" applyFont="1" applyBorder="1"/>
    <xf numFmtId="0" fontId="0" fillId="0" borderId="164" xfId="0" quotePrefix="1" applyBorder="1"/>
    <xf numFmtId="0" fontId="0" fillId="0" borderId="166" xfId="0" quotePrefix="1" applyBorder="1"/>
    <xf numFmtId="0" fontId="33" fillId="3" borderId="167" xfId="0" applyFont="1" applyFill="1" applyBorder="1"/>
    <xf numFmtId="0" fontId="0" fillId="3" borderId="164" xfId="0" quotePrefix="1" applyFill="1" applyBorder="1"/>
    <xf numFmtId="0" fontId="0" fillId="0" borderId="164" xfId="0" quotePrefix="1" applyBorder="1" applyAlignment="1">
      <alignment vertical="center"/>
    </xf>
    <xf numFmtId="0" fontId="123" fillId="4" borderId="0" xfId="0" quotePrefix="1" applyFont="1" applyFill="1" applyAlignment="1">
      <alignment vertical="center"/>
    </xf>
    <xf numFmtId="164" fontId="4" fillId="33" borderId="16" xfId="0" applyNumberFormat="1" applyFont="1" applyFill="1" applyBorder="1" applyAlignment="1">
      <alignment horizontal="center" vertical="center"/>
    </xf>
    <xf numFmtId="0" fontId="7" fillId="43" borderId="30" xfId="0" applyFont="1" applyFill="1" applyBorder="1" applyAlignment="1">
      <alignment horizontal="center" vertical="center" wrapText="1"/>
    </xf>
    <xf numFmtId="164" fontId="2" fillId="33" borderId="16" xfId="0" applyNumberFormat="1" applyFont="1" applyFill="1" applyBorder="1" applyAlignment="1">
      <alignment horizontal="center" vertical="center"/>
    </xf>
    <xf numFmtId="0" fontId="4" fillId="0" borderId="0" xfId="0" applyFont="1" applyAlignment="1">
      <alignment horizontal="center" vertical="center"/>
    </xf>
    <xf numFmtId="0" fontId="99" fillId="3" borderId="0" xfId="0" applyFont="1" applyFill="1" applyAlignment="1">
      <alignment horizontal="left" vertical="center"/>
    </xf>
    <xf numFmtId="0" fontId="2" fillId="3" borderId="0" xfId="0" applyFont="1" applyFill="1" applyAlignment="1" applyProtection="1">
      <alignment horizontal="center" wrapText="1"/>
      <protection locked="0"/>
    </xf>
    <xf numFmtId="164" fontId="9" fillId="4" borderId="24" xfId="0" applyNumberFormat="1" applyFont="1" applyFill="1" applyBorder="1" applyAlignment="1">
      <alignment horizontal="left" vertical="center"/>
    </xf>
    <xf numFmtId="0" fontId="116" fillId="3" borderId="174" xfId="0" applyFont="1" applyFill="1" applyBorder="1" applyAlignment="1">
      <alignment vertical="center"/>
    </xf>
    <xf numFmtId="0" fontId="116" fillId="3" borderId="175" xfId="0" applyFont="1" applyFill="1" applyBorder="1" applyAlignment="1">
      <alignment vertical="center"/>
    </xf>
    <xf numFmtId="0" fontId="0" fillId="3" borderId="174" xfId="0" applyFill="1" applyBorder="1" applyAlignment="1">
      <alignment horizontal="center"/>
    </xf>
    <xf numFmtId="0" fontId="0" fillId="3" borderId="175" xfId="0" applyFill="1" applyBorder="1" applyAlignment="1">
      <alignment horizontal="center"/>
    </xf>
    <xf numFmtId="0" fontId="0" fillId="3" borderId="174" xfId="0" applyFill="1" applyBorder="1"/>
    <xf numFmtId="0" fontId="0" fillId="3" borderId="175" xfId="0" applyFill="1" applyBorder="1"/>
    <xf numFmtId="0" fontId="0" fillId="4" borderId="174" xfId="0" applyFill="1" applyBorder="1" applyAlignment="1">
      <alignment horizontal="center"/>
    </xf>
    <xf numFmtId="0" fontId="79" fillId="3" borderId="175" xfId="0" applyFont="1" applyFill="1" applyBorder="1" applyAlignment="1">
      <alignment horizontal="right"/>
    </xf>
    <xf numFmtId="0" fontId="86" fillId="3" borderId="175" xfId="0" applyFont="1" applyFill="1" applyBorder="1" applyAlignment="1">
      <alignment horizontal="right"/>
    </xf>
    <xf numFmtId="0" fontId="0" fillId="0" borderId="178" xfId="0" applyBorder="1"/>
    <xf numFmtId="0" fontId="0" fillId="0" borderId="179" xfId="0" applyBorder="1"/>
    <xf numFmtId="0" fontId="0" fillId="0" borderId="180" xfId="0" applyBorder="1"/>
    <xf numFmtId="164" fontId="0" fillId="4" borderId="24" xfId="1" applyNumberFormat="1" applyFont="1" applyFill="1" applyBorder="1" applyAlignment="1" applyProtection="1">
      <alignment horizontal="center" vertical="center"/>
    </xf>
    <xf numFmtId="164" fontId="3" fillId="4" borderId="24" xfId="0" applyNumberFormat="1" applyFont="1" applyFill="1" applyBorder="1" applyAlignment="1">
      <alignment horizontal="center" vertical="center"/>
    </xf>
    <xf numFmtId="1" fontId="3" fillId="4" borderId="25" xfId="0" applyNumberFormat="1" applyFont="1" applyFill="1" applyBorder="1" applyAlignment="1">
      <alignment horizontal="center" vertical="center"/>
    </xf>
    <xf numFmtId="9" fontId="0" fillId="4" borderId="23" xfId="1" applyFont="1" applyFill="1" applyBorder="1" applyAlignment="1" applyProtection="1">
      <alignment horizontal="center" vertical="center"/>
    </xf>
    <xf numFmtId="164" fontId="3" fillId="4" borderId="23" xfId="0" applyNumberFormat="1" applyFont="1" applyFill="1" applyBorder="1" applyAlignment="1">
      <alignment horizontal="center" vertical="center"/>
    </xf>
    <xf numFmtId="164" fontId="3" fillId="4" borderId="25" xfId="0" applyNumberFormat="1" applyFont="1" applyFill="1" applyBorder="1" applyAlignment="1">
      <alignment horizontal="center" vertical="center"/>
    </xf>
    <xf numFmtId="0" fontId="85" fillId="6" borderId="121" xfId="0" applyFont="1" applyFill="1" applyBorder="1"/>
    <xf numFmtId="0" fontId="122" fillId="6" borderId="0" xfId="0" applyFont="1" applyFill="1" applyAlignment="1">
      <alignment horizontal="center"/>
    </xf>
    <xf numFmtId="9" fontId="0" fillId="6" borderId="0" xfId="1" applyFont="1" applyFill="1" applyBorder="1" applyAlignment="1" applyProtection="1">
      <alignment horizontal="center" vertical="center"/>
    </xf>
    <xf numFmtId="0" fontId="0" fillId="6" borderId="0" xfId="0" applyFill="1"/>
    <xf numFmtId="172" fontId="4" fillId="6" borderId="0" xfId="0" applyNumberFormat="1" applyFont="1" applyFill="1" applyAlignment="1">
      <alignment horizontal="center" vertical="center"/>
    </xf>
    <xf numFmtId="44" fontId="0" fillId="6" borderId="0" xfId="0" applyNumberFormat="1" applyFill="1"/>
    <xf numFmtId="0" fontId="0" fillId="6" borderId="122" xfId="0" applyFill="1" applyBorder="1"/>
    <xf numFmtId="9" fontId="3" fillId="6" borderId="0" xfId="1" applyFont="1" applyFill="1" applyBorder="1" applyAlignment="1" applyProtection="1">
      <alignment horizontal="center" vertical="center"/>
    </xf>
    <xf numFmtId="164" fontId="3" fillId="6" borderId="0" xfId="0" applyNumberFormat="1" applyFont="1" applyFill="1" applyAlignment="1">
      <alignment horizontal="center" vertical="center"/>
    </xf>
    <xf numFmtId="1" fontId="3" fillId="6" borderId="0" xfId="0" applyNumberFormat="1" applyFont="1" applyFill="1" applyAlignment="1">
      <alignment horizontal="center" vertical="center"/>
    </xf>
    <xf numFmtId="0" fontId="0" fillId="6" borderId="0" xfId="0" applyFill="1" applyAlignment="1">
      <alignment vertical="center"/>
    </xf>
    <xf numFmtId="1" fontId="4" fillId="6" borderId="0" xfId="0" applyNumberFormat="1" applyFont="1" applyFill="1" applyAlignment="1">
      <alignment horizontal="center" vertical="center"/>
    </xf>
    <xf numFmtId="44" fontId="0" fillId="6" borderId="0" xfId="0" applyNumberFormat="1" applyFill="1" applyAlignment="1">
      <alignment vertical="center"/>
    </xf>
    <xf numFmtId="0" fontId="4" fillId="6" borderId="0" xfId="0" applyFont="1" applyFill="1"/>
    <xf numFmtId="0" fontId="4" fillId="6" borderId="0" xfId="0" applyFont="1" applyFill="1" applyAlignment="1">
      <alignment horizontal="center" vertical="center"/>
    </xf>
    <xf numFmtId="0" fontId="3" fillId="6" borderId="0" xfId="1" applyNumberFormat="1" applyFont="1" applyFill="1" applyBorder="1" applyAlignment="1" applyProtection="1">
      <alignment horizontal="center" vertical="center"/>
    </xf>
    <xf numFmtId="0" fontId="0" fillId="6" borderId="121" xfId="0" applyFill="1" applyBorder="1" applyAlignment="1">
      <alignment horizontal="center"/>
    </xf>
    <xf numFmtId="0" fontId="0" fillId="6" borderId="0" xfId="0" applyFill="1" applyAlignment="1">
      <alignment horizontal="center"/>
    </xf>
    <xf numFmtId="0" fontId="85" fillId="6" borderId="121" xfId="0" applyFont="1" applyFill="1" applyBorder="1" applyAlignment="1">
      <alignment horizontal="center"/>
    </xf>
    <xf numFmtId="172" fontId="3" fillId="6" borderId="0" xfId="0" applyNumberFormat="1" applyFont="1" applyFill="1" applyAlignment="1">
      <alignment horizontal="center" vertical="center"/>
    </xf>
    <xf numFmtId="164" fontId="41" fillId="6" borderId="0" xfId="0" applyNumberFormat="1" applyFont="1" applyFill="1" applyAlignment="1">
      <alignment horizontal="center" vertical="center"/>
    </xf>
    <xf numFmtId="44" fontId="0" fillId="6" borderId="0" xfId="2" applyFont="1" applyFill="1" applyBorder="1" applyAlignment="1" applyProtection="1">
      <alignment horizontal="center" vertical="center"/>
    </xf>
    <xf numFmtId="172" fontId="3" fillId="6" borderId="0" xfId="1" applyNumberFormat="1" applyFont="1" applyFill="1" applyBorder="1" applyAlignment="1" applyProtection="1">
      <alignment horizontal="center" vertical="center"/>
    </xf>
    <xf numFmtId="172" fontId="3" fillId="4" borderId="115" xfId="0" applyNumberFormat="1" applyFont="1" applyFill="1" applyBorder="1" applyAlignment="1">
      <alignment horizontal="center" vertical="center"/>
    </xf>
    <xf numFmtId="44" fontId="3" fillId="4" borderId="25" xfId="2" applyFont="1" applyFill="1" applyBorder="1" applyAlignment="1" applyProtection="1">
      <alignment horizontal="center" vertical="center"/>
    </xf>
    <xf numFmtId="44" fontId="3" fillId="4" borderId="25" xfId="0" applyNumberFormat="1" applyFont="1" applyFill="1" applyBorder="1" applyAlignment="1">
      <alignment horizontal="center" vertical="center"/>
    </xf>
    <xf numFmtId="164" fontId="3" fillId="4" borderId="115" xfId="0" applyNumberFormat="1" applyFont="1" applyFill="1" applyBorder="1" applyAlignment="1">
      <alignment horizontal="center" vertical="center"/>
    </xf>
    <xf numFmtId="0" fontId="13" fillId="3" borderId="0" xfId="0" applyFont="1" applyFill="1" applyAlignment="1">
      <alignment horizontal="center" vertical="center" wrapText="1"/>
    </xf>
    <xf numFmtId="0" fontId="2" fillId="0" borderId="0" xfId="0" applyFont="1" applyAlignment="1">
      <alignment vertical="center"/>
    </xf>
    <xf numFmtId="164" fontId="4" fillId="48" borderId="85" xfId="2" applyNumberFormat="1" applyFont="1" applyFill="1" applyBorder="1" applyAlignment="1" applyProtection="1">
      <alignment horizontal="center" vertical="center"/>
    </xf>
    <xf numFmtId="164" fontId="4" fillId="30" borderId="85" xfId="2" applyNumberFormat="1" applyFont="1" applyFill="1" applyBorder="1" applyAlignment="1" applyProtection="1">
      <alignment horizontal="center" vertical="center"/>
      <protection locked="0"/>
    </xf>
    <xf numFmtId="164" fontId="4" fillId="48" borderId="91" xfId="2" applyNumberFormat="1" applyFont="1" applyFill="1" applyBorder="1" applyAlignment="1" applyProtection="1">
      <alignment horizontal="center" vertical="center"/>
    </xf>
    <xf numFmtId="0" fontId="0" fillId="3" borderId="11" xfId="0" applyFill="1" applyBorder="1" applyAlignment="1">
      <alignment horizontal="center"/>
    </xf>
    <xf numFmtId="0" fontId="2" fillId="3" borderId="11" xfId="0" applyFont="1" applyFill="1" applyBorder="1" applyAlignment="1">
      <alignment horizontal="left"/>
    </xf>
    <xf numFmtId="0" fontId="0" fillId="3" borderId="11" xfId="0" applyFill="1" applyBorder="1" applyAlignment="1">
      <alignment horizontal="left"/>
    </xf>
    <xf numFmtId="164" fontId="97" fillId="3" borderId="11" xfId="0" quotePrefix="1" applyNumberFormat="1" applyFont="1" applyFill="1" applyBorder="1" applyAlignment="1">
      <alignment horizontal="center" vertical="center"/>
    </xf>
    <xf numFmtId="0" fontId="0" fillId="3" borderId="12" xfId="0" applyFill="1" applyBorder="1" applyAlignment="1">
      <alignment horizontal="center"/>
    </xf>
    <xf numFmtId="0" fontId="9" fillId="3" borderId="13" xfId="0" applyFont="1" applyFill="1" applyBorder="1" applyAlignment="1">
      <alignment horizontal="right" vertical="center"/>
    </xf>
    <xf numFmtId="0" fontId="0" fillId="3" borderId="14" xfId="0" applyFill="1" applyBorder="1" applyAlignment="1">
      <alignment horizontal="center"/>
    </xf>
    <xf numFmtId="0" fontId="9" fillId="4" borderId="13" xfId="0" applyFont="1" applyFill="1" applyBorder="1" applyAlignment="1">
      <alignment horizontal="right" vertical="center"/>
    </xf>
    <xf numFmtId="0" fontId="26" fillId="0" borderId="14" xfId="0" applyFont="1" applyBorder="1" applyAlignment="1">
      <alignment vertical="center"/>
    </xf>
    <xf numFmtId="0" fontId="6" fillId="3" borderId="13" xfId="0" applyFont="1" applyFill="1" applyBorder="1" applyAlignment="1">
      <alignment horizontal="center"/>
    </xf>
    <xf numFmtId="0" fontId="26" fillId="0" borderId="13" xfId="0" applyFont="1" applyBorder="1" applyAlignment="1">
      <alignment vertical="center"/>
    </xf>
    <xf numFmtId="0" fontId="9" fillId="3" borderId="15" xfId="0" applyFont="1" applyFill="1" applyBorder="1" applyAlignment="1">
      <alignment horizontal="right" vertical="center"/>
    </xf>
    <xf numFmtId="0" fontId="9" fillId="3" borderId="17" xfId="0" applyFont="1" applyFill="1" applyBorder="1" applyAlignment="1">
      <alignment horizontal="right" vertical="center"/>
    </xf>
    <xf numFmtId="0" fontId="40" fillId="3" borderId="17" xfId="0" applyFont="1" applyFill="1" applyBorder="1" applyAlignment="1">
      <alignment horizontal="right" vertical="center"/>
    </xf>
    <xf numFmtId="0" fontId="22" fillId="4" borderId="0" xfId="0" applyFont="1" applyFill="1" applyAlignment="1">
      <alignment vertical="center"/>
    </xf>
    <xf numFmtId="0" fontId="22" fillId="29" borderId="0" xfId="0" applyFont="1" applyFill="1" applyAlignment="1">
      <alignment vertical="center"/>
    </xf>
    <xf numFmtId="0" fontId="22" fillId="29" borderId="0" xfId="0" applyFont="1" applyFill="1" applyAlignment="1">
      <alignment horizontal="center"/>
    </xf>
    <xf numFmtId="1" fontId="22" fillId="4" borderId="0" xfId="0" applyNumberFormat="1" applyFont="1" applyFill="1" applyAlignment="1">
      <alignment vertical="center"/>
    </xf>
    <xf numFmtId="0" fontId="22" fillId="4" borderId="0" xfId="0" applyFont="1" applyFill="1" applyAlignment="1">
      <alignment horizontal="center" vertical="center"/>
    </xf>
    <xf numFmtId="164" fontId="138" fillId="4" borderId="0" xfId="0" applyNumberFormat="1" applyFont="1" applyFill="1" applyAlignment="1">
      <alignment horizontal="left" vertical="center"/>
    </xf>
    <xf numFmtId="0" fontId="22" fillId="3" borderId="0" xfId="0" applyFont="1" applyFill="1" applyAlignment="1">
      <alignment horizontal="center" vertical="center"/>
    </xf>
    <xf numFmtId="0" fontId="22" fillId="0" borderId="0" xfId="0" applyFont="1" applyAlignment="1">
      <alignment vertical="center"/>
    </xf>
    <xf numFmtId="0" fontId="139" fillId="3" borderId="0" xfId="0" applyFont="1" applyFill="1" applyAlignment="1">
      <alignment horizontal="center"/>
    </xf>
    <xf numFmtId="0" fontId="22" fillId="0" borderId="0" xfId="0" applyFont="1" applyAlignment="1">
      <alignment horizontal="center" vertical="center"/>
    </xf>
    <xf numFmtId="0" fontId="140" fillId="0" borderId="0" xfId="0" applyFont="1" applyAlignment="1">
      <alignment vertical="center"/>
    </xf>
    <xf numFmtId="0" fontId="43" fillId="3" borderId="0" xfId="0" applyFont="1" applyFill="1" applyAlignment="1">
      <alignment vertical="center" wrapText="1"/>
    </xf>
    <xf numFmtId="0" fontId="7" fillId="3" borderId="0" xfId="0" applyFont="1" applyFill="1" applyAlignment="1">
      <alignment vertical="center" wrapText="1"/>
    </xf>
    <xf numFmtId="0" fontId="116" fillId="3" borderId="0" xfId="0" applyFont="1" applyFill="1" applyAlignment="1">
      <alignment horizontal="center" vertical="center"/>
    </xf>
    <xf numFmtId="0" fontId="15" fillId="3" borderId="28" xfId="0" applyFont="1" applyFill="1" applyBorder="1"/>
    <xf numFmtId="1" fontId="2" fillId="3" borderId="153" xfId="0" applyNumberFormat="1" applyFont="1" applyFill="1" applyBorder="1" applyAlignment="1">
      <alignment horizontal="center" vertical="center" wrapText="1"/>
    </xf>
    <xf numFmtId="0" fontId="7" fillId="41" borderId="0" xfId="0" applyFont="1" applyFill="1" applyAlignment="1">
      <alignment horizontal="center" vertical="center" wrapText="1"/>
    </xf>
    <xf numFmtId="0" fontId="22" fillId="3" borderId="174" xfId="0" applyFont="1" applyFill="1" applyBorder="1"/>
    <xf numFmtId="0" fontId="120" fillId="3" borderId="175" xfId="0" applyFont="1" applyFill="1" applyBorder="1"/>
    <xf numFmtId="0" fontId="120" fillId="3" borderId="175" xfId="0" applyFont="1" applyFill="1" applyBorder="1" applyAlignment="1">
      <alignment horizontal="center" vertical="center"/>
    </xf>
    <xf numFmtId="0" fontId="22" fillId="3" borderId="175" xfId="0" applyFont="1" applyFill="1" applyBorder="1" applyAlignment="1">
      <alignment vertical="center"/>
    </xf>
    <xf numFmtId="0" fontId="22" fillId="3" borderId="0" xfId="0" applyFont="1" applyFill="1" applyAlignment="1">
      <alignment vertical="center"/>
    </xf>
    <xf numFmtId="164" fontId="2" fillId="3" borderId="122" xfId="0" applyNumberFormat="1" applyFont="1" applyFill="1" applyBorder="1" applyAlignment="1">
      <alignment horizontal="center" vertical="center"/>
    </xf>
    <xf numFmtId="1" fontId="2" fillId="3" borderId="122" xfId="0" applyNumberFormat="1" applyFont="1" applyFill="1" applyBorder="1" applyAlignment="1">
      <alignment horizontal="center" vertical="center"/>
    </xf>
    <xf numFmtId="164" fontId="2" fillId="3" borderId="153" xfId="0" applyNumberFormat="1" applyFont="1" applyFill="1" applyBorder="1" applyAlignment="1">
      <alignment horizontal="center" vertical="center" wrapText="1"/>
    </xf>
    <xf numFmtId="1" fontId="2" fillId="3" borderId="0" xfId="0" applyNumberFormat="1" applyFont="1" applyFill="1" applyAlignment="1">
      <alignment horizontal="center" vertical="center"/>
    </xf>
    <xf numFmtId="0" fontId="127" fillId="3" borderId="0" xfId="0" applyFont="1" applyFill="1" applyAlignment="1">
      <alignment vertical="center"/>
    </xf>
    <xf numFmtId="0" fontId="101" fillId="3" borderId="0" xfId="0" applyFont="1" applyFill="1" applyAlignment="1">
      <alignment vertical="center"/>
    </xf>
    <xf numFmtId="173" fontId="4" fillId="3" borderId="160" xfId="4" applyNumberFormat="1" applyFont="1" applyFill="1" applyBorder="1" applyAlignment="1" applyProtection="1">
      <alignment horizontal="center" vertical="center"/>
    </xf>
    <xf numFmtId="1" fontId="104" fillId="3" borderId="123" xfId="0" applyNumberFormat="1" applyFont="1" applyFill="1" applyBorder="1" applyAlignment="1">
      <alignment horizontal="center" vertical="center"/>
    </xf>
    <xf numFmtId="0" fontId="0" fillId="3" borderId="171" xfId="0" applyFill="1" applyBorder="1" applyAlignment="1">
      <alignment horizontal="center"/>
    </xf>
    <xf numFmtId="0" fontId="62" fillId="3" borderId="172" xfId="0" applyFont="1" applyFill="1" applyBorder="1" applyAlignment="1">
      <alignment vertical="center"/>
    </xf>
    <xf numFmtId="0" fontId="6" fillId="3" borderId="172" xfId="0" applyFont="1" applyFill="1" applyBorder="1" applyAlignment="1">
      <alignment horizontal="center"/>
    </xf>
    <xf numFmtId="0" fontId="6" fillId="3" borderId="173" xfId="0" applyFont="1" applyFill="1" applyBorder="1"/>
    <xf numFmtId="0" fontId="6" fillId="3" borderId="175" xfId="0" applyFont="1" applyFill="1" applyBorder="1"/>
    <xf numFmtId="1" fontId="43" fillId="3" borderId="181" xfId="2" applyNumberFormat="1" applyFont="1" applyFill="1" applyBorder="1" applyAlignment="1" applyProtection="1">
      <alignment horizontal="center" vertical="center"/>
      <protection locked="0"/>
    </xf>
    <xf numFmtId="1" fontId="43" fillId="3" borderId="0" xfId="2" applyNumberFormat="1" applyFont="1" applyFill="1" applyBorder="1" applyAlignment="1" applyProtection="1">
      <alignment horizontal="center" vertical="center"/>
      <protection locked="0"/>
    </xf>
    <xf numFmtId="0" fontId="2" fillId="3" borderId="172" xfId="0" applyFont="1" applyFill="1" applyBorder="1"/>
    <xf numFmtId="0" fontId="2" fillId="0" borderId="0" xfId="0" applyFont="1" applyAlignment="1">
      <alignment horizontal="left" vertical="center"/>
    </xf>
    <xf numFmtId="2" fontId="42" fillId="7" borderId="0" xfId="0" applyNumberFormat="1" applyFont="1" applyFill="1" applyAlignment="1">
      <alignment horizontal="center"/>
    </xf>
    <xf numFmtId="1" fontId="4" fillId="33" borderId="16" xfId="0" applyNumberFormat="1" applyFont="1" applyFill="1" applyBorder="1" applyAlignment="1">
      <alignment horizontal="center" vertical="center"/>
    </xf>
    <xf numFmtId="0" fontId="9" fillId="29" borderId="132" xfId="0" applyFont="1" applyFill="1" applyBorder="1" applyAlignment="1">
      <alignment horizontal="left" vertical="center"/>
    </xf>
    <xf numFmtId="0" fontId="4" fillId="29" borderId="32" xfId="0" applyFont="1" applyFill="1" applyBorder="1" applyAlignment="1">
      <alignment vertical="center"/>
    </xf>
    <xf numFmtId="0" fontId="4" fillId="29" borderId="132" xfId="0" applyFont="1" applyFill="1" applyBorder="1" applyAlignment="1">
      <alignment vertical="center"/>
    </xf>
    <xf numFmtId="0" fontId="4" fillId="29" borderId="32" xfId="0" applyFont="1" applyFill="1" applyBorder="1" applyAlignment="1">
      <alignment horizontal="left" vertical="center"/>
    </xf>
    <xf numFmtId="0" fontId="4" fillId="29" borderId="32" xfId="0" applyFont="1" applyFill="1" applyBorder="1" applyAlignment="1">
      <alignment horizontal="right" vertical="center"/>
    </xf>
    <xf numFmtId="164" fontId="53" fillId="29" borderId="32" xfId="0" applyNumberFormat="1" applyFont="1" applyFill="1" applyBorder="1" applyAlignment="1">
      <alignment horizontal="center" vertical="center"/>
    </xf>
    <xf numFmtId="1" fontId="104" fillId="29" borderId="133" xfId="0" applyNumberFormat="1" applyFont="1" applyFill="1" applyBorder="1" applyAlignment="1">
      <alignment horizontal="center" vertical="center"/>
    </xf>
    <xf numFmtId="0" fontId="43" fillId="41" borderId="132" xfId="0" applyFont="1" applyFill="1" applyBorder="1" applyAlignment="1">
      <alignment horizontal="left" vertical="center"/>
    </xf>
    <xf numFmtId="0" fontId="7" fillId="41" borderId="32" xfId="0" applyFont="1" applyFill="1" applyBorder="1" applyAlignment="1">
      <alignment vertical="center"/>
    </xf>
    <xf numFmtId="0" fontId="7" fillId="41" borderId="132" xfId="0" applyFont="1" applyFill="1" applyBorder="1" applyAlignment="1">
      <alignment vertical="center"/>
    </xf>
    <xf numFmtId="0" fontId="7" fillId="41" borderId="32" xfId="0" applyFont="1" applyFill="1" applyBorder="1" applyAlignment="1">
      <alignment horizontal="center" vertical="center"/>
    </xf>
    <xf numFmtId="164" fontId="43" fillId="41" borderId="32" xfId="0" applyNumberFormat="1" applyFont="1" applyFill="1" applyBorder="1" applyAlignment="1">
      <alignment horizontal="left" vertical="center"/>
    </xf>
    <xf numFmtId="1" fontId="20" fillId="41" borderId="133" xfId="0" applyNumberFormat="1" applyFont="1" applyFill="1" applyBorder="1" applyAlignment="1">
      <alignment horizontal="center" vertical="center"/>
    </xf>
    <xf numFmtId="0" fontId="108" fillId="3" borderId="0" xfId="0" applyFont="1" applyFill="1" applyAlignment="1">
      <alignment horizontal="center" vertical="center"/>
    </xf>
    <xf numFmtId="0" fontId="115" fillId="3" borderId="0" xfId="0" quotePrefix="1" applyFont="1" applyFill="1" applyAlignment="1">
      <alignment vertical="center"/>
    </xf>
    <xf numFmtId="0" fontId="100" fillId="3" borderId="125" xfId="0" applyFont="1" applyFill="1" applyBorder="1" applyAlignment="1">
      <alignment horizontal="left" vertical="center"/>
    </xf>
    <xf numFmtId="0" fontId="124" fillId="3" borderId="0" xfId="0" applyFont="1" applyFill="1" applyAlignment="1">
      <alignment vertical="center"/>
    </xf>
    <xf numFmtId="0" fontId="99" fillId="3" borderId="122" xfId="0" applyFont="1" applyFill="1" applyBorder="1" applyAlignment="1">
      <alignment vertical="center"/>
    </xf>
    <xf numFmtId="0" fontId="124" fillId="3" borderId="122" xfId="0" applyFont="1" applyFill="1" applyBorder="1" applyAlignment="1">
      <alignment vertical="center"/>
    </xf>
    <xf numFmtId="164" fontId="9" fillId="8" borderId="149" xfId="2" applyNumberFormat="1" applyFont="1" applyFill="1" applyBorder="1" applyAlignment="1" applyProtection="1">
      <alignment horizontal="center" vertical="center"/>
      <protection locked="0"/>
    </xf>
    <xf numFmtId="0" fontId="0" fillId="3" borderId="26" xfId="0" applyFill="1" applyBorder="1" applyAlignment="1">
      <alignment horizontal="center"/>
    </xf>
    <xf numFmtId="1" fontId="38" fillId="3" borderId="0" xfId="0" quotePrefix="1" applyNumberFormat="1" applyFont="1" applyFill="1" applyAlignment="1">
      <alignment horizontal="left" vertical="center"/>
    </xf>
    <xf numFmtId="164" fontId="47" fillId="3" borderId="0" xfId="0" applyNumberFormat="1" applyFont="1" applyFill="1" applyAlignment="1">
      <alignment horizontal="center" vertical="center"/>
    </xf>
    <xf numFmtId="164" fontId="38" fillId="3" borderId="0" xfId="0" applyNumberFormat="1" applyFont="1" applyFill="1" applyAlignment="1">
      <alignment horizontal="center" vertical="center"/>
    </xf>
    <xf numFmtId="0" fontId="0" fillId="3" borderId="0" xfId="0" applyFill="1" applyAlignment="1" applyProtection="1">
      <alignment horizontal="center"/>
      <protection locked="0"/>
    </xf>
    <xf numFmtId="2" fontId="0" fillId="49" borderId="6" xfId="0" applyNumberFormat="1" applyFill="1" applyBorder="1" applyAlignment="1" applyProtection="1">
      <alignment horizontal="center" vertical="center"/>
      <protection locked="0"/>
    </xf>
    <xf numFmtId="2" fontId="0" fillId="49" borderId="197" xfId="0" applyNumberFormat="1" applyFill="1" applyBorder="1" applyAlignment="1" applyProtection="1">
      <alignment horizontal="center" vertical="center"/>
      <protection locked="0"/>
    </xf>
    <xf numFmtId="2" fontId="0" fillId="49" borderId="191" xfId="0" applyNumberFormat="1" applyFill="1" applyBorder="1" applyAlignment="1" applyProtection="1">
      <alignment horizontal="center" vertical="center"/>
      <protection locked="0"/>
    </xf>
    <xf numFmtId="2" fontId="0" fillId="49" borderId="198" xfId="0" applyNumberFormat="1" applyFill="1" applyBorder="1" applyAlignment="1" applyProtection="1">
      <alignment horizontal="center" vertical="center"/>
      <protection locked="0"/>
    </xf>
    <xf numFmtId="0" fontId="2" fillId="3" borderId="6" xfId="0" applyFont="1" applyFill="1" applyBorder="1" applyAlignment="1">
      <alignment horizontal="center"/>
    </xf>
    <xf numFmtId="0" fontId="134" fillId="3" borderId="186" xfId="0" applyFont="1" applyFill="1" applyBorder="1"/>
    <xf numFmtId="0" fontId="0" fillId="3" borderId="194" xfId="0" applyFill="1" applyBorder="1" applyAlignment="1">
      <alignment horizontal="center"/>
    </xf>
    <xf numFmtId="0" fontId="133" fillId="3" borderId="0" xfId="0" applyFont="1" applyFill="1" applyAlignment="1" applyProtection="1">
      <alignment horizontal="left"/>
      <protection locked="0"/>
    </xf>
    <xf numFmtId="0" fontId="135" fillId="3" borderId="0" xfId="0" applyFont="1" applyFill="1" applyAlignment="1">
      <alignment horizontal="center" vertical="center"/>
    </xf>
    <xf numFmtId="0" fontId="0" fillId="3" borderId="103" xfId="0" applyFill="1" applyBorder="1"/>
    <xf numFmtId="0" fontId="0" fillId="3" borderId="103" xfId="0" applyFill="1" applyBorder="1" applyAlignment="1">
      <alignment horizontal="center"/>
    </xf>
    <xf numFmtId="2" fontId="0" fillId="49" borderId="103" xfId="0" applyNumberFormat="1" applyFill="1" applyBorder="1" applyAlignment="1" applyProtection="1">
      <alignment horizontal="left" vertical="center"/>
      <protection locked="0"/>
    </xf>
    <xf numFmtId="2" fontId="0" fillId="49" borderId="103" xfId="0" applyNumberFormat="1" applyFill="1" applyBorder="1" applyAlignment="1" applyProtection="1">
      <alignment horizontal="center" vertical="center"/>
      <protection locked="0"/>
    </xf>
    <xf numFmtId="9" fontId="0" fillId="0" borderId="0" xfId="1" quotePrefix="1" applyFont="1" applyAlignment="1" applyProtection="1">
      <alignment horizontal="center" vertical="center"/>
    </xf>
    <xf numFmtId="0" fontId="16" fillId="36" borderId="208" xfId="0" quotePrefix="1" applyFont="1" applyFill="1" applyBorder="1"/>
    <xf numFmtId="0" fontId="16" fillId="4" borderId="32" xfId="0" quotePrefix="1" applyFont="1" applyFill="1" applyBorder="1"/>
    <xf numFmtId="0" fontId="16" fillId="36" borderId="103" xfId="0" quotePrefix="1" applyFont="1" applyFill="1" applyBorder="1"/>
    <xf numFmtId="0" fontId="16" fillId="4" borderId="103" xfId="0" quotePrefix="1" applyFont="1" applyFill="1" applyBorder="1"/>
    <xf numFmtId="0" fontId="16" fillId="3" borderId="103" xfId="0" quotePrefix="1" applyFont="1" applyFill="1" applyBorder="1"/>
    <xf numFmtId="0" fontId="0" fillId="0" borderId="24" xfId="0" applyBorder="1" applyAlignment="1">
      <alignment vertical="center"/>
    </xf>
    <xf numFmtId="0" fontId="0" fillId="0" borderId="30" xfId="0" applyBorder="1" applyAlignment="1">
      <alignment vertical="center"/>
    </xf>
    <xf numFmtId="0" fontId="0" fillId="0" borderId="32" xfId="0" applyBorder="1" applyAlignment="1">
      <alignment vertical="center"/>
    </xf>
    <xf numFmtId="164" fontId="4" fillId="3" borderId="32" xfId="1" applyNumberFormat="1" applyFont="1" applyFill="1" applyBorder="1" applyAlignment="1" applyProtection="1">
      <alignment horizontal="center" vertical="center"/>
    </xf>
    <xf numFmtId="0" fontId="0" fillId="0" borderId="115" xfId="0" applyBorder="1" applyAlignment="1">
      <alignment vertical="center"/>
    </xf>
    <xf numFmtId="0" fontId="33" fillId="3" borderId="134" xfId="0" applyFont="1" applyFill="1" applyBorder="1"/>
    <xf numFmtId="0" fontId="33" fillId="3" borderId="116" xfId="0" applyFont="1" applyFill="1" applyBorder="1"/>
    <xf numFmtId="164" fontId="13" fillId="48" borderId="113" xfId="1" applyNumberFormat="1" applyFont="1" applyFill="1" applyBorder="1" applyAlignment="1" applyProtection="1">
      <alignment horizontal="center" vertical="center"/>
    </xf>
    <xf numFmtId="0" fontId="26" fillId="3" borderId="24" xfId="0" applyFont="1" applyFill="1" applyBorder="1" applyAlignment="1">
      <alignment vertical="center"/>
    </xf>
    <xf numFmtId="0" fontId="0" fillId="3" borderId="25" xfId="0" applyFill="1" applyBorder="1" applyAlignment="1">
      <alignment horizontal="center"/>
    </xf>
    <xf numFmtId="0" fontId="0" fillId="0" borderId="26" xfId="0" applyBorder="1" applyAlignment="1">
      <alignment vertical="center"/>
    </xf>
    <xf numFmtId="0" fontId="62" fillId="3" borderId="26" xfId="0" applyFont="1" applyFill="1" applyBorder="1" applyAlignment="1">
      <alignment horizontal="left" vertical="center"/>
    </xf>
    <xf numFmtId="0" fontId="0" fillId="0" borderId="19" xfId="0" applyBorder="1" applyAlignment="1">
      <alignment vertical="center"/>
    </xf>
    <xf numFmtId="0" fontId="70" fillId="3" borderId="27" xfId="0" applyFont="1" applyFill="1" applyBorder="1" applyAlignment="1">
      <alignment horizontal="left" vertical="center"/>
    </xf>
    <xf numFmtId="0" fontId="70" fillId="3" borderId="28" xfId="0" applyFont="1" applyFill="1" applyBorder="1" applyAlignment="1">
      <alignment horizontal="left" vertical="center"/>
    </xf>
    <xf numFmtId="0" fontId="22" fillId="3" borderId="28" xfId="0" applyFont="1" applyFill="1" applyBorder="1" applyAlignment="1">
      <alignment vertical="center"/>
    </xf>
    <xf numFmtId="0" fontId="40" fillId="3" borderId="28" xfId="0" applyFont="1" applyFill="1" applyBorder="1" applyAlignment="1">
      <alignment horizontal="left" vertical="center"/>
    </xf>
    <xf numFmtId="164" fontId="40" fillId="3" borderId="28" xfId="2" applyNumberFormat="1" applyFont="1" applyFill="1" applyBorder="1" applyAlignment="1" applyProtection="1">
      <alignment horizontal="center" vertical="center"/>
    </xf>
    <xf numFmtId="0" fontId="22" fillId="3" borderId="28" xfId="0" applyFont="1" applyFill="1" applyBorder="1" applyAlignment="1">
      <alignment horizontal="center"/>
    </xf>
    <xf numFmtId="0" fontId="98" fillId="3" borderId="28" xfId="0" applyFont="1" applyFill="1" applyBorder="1" applyAlignment="1">
      <alignment horizontal="center" vertical="center"/>
    </xf>
    <xf numFmtId="0" fontId="22" fillId="3" borderId="29" xfId="0" applyFont="1" applyFill="1" applyBorder="1" applyAlignment="1">
      <alignment horizontal="center"/>
    </xf>
    <xf numFmtId="0" fontId="9" fillId="48" borderId="114" xfId="1" applyNumberFormat="1" applyFont="1" applyFill="1" applyBorder="1" applyAlignment="1" applyProtection="1">
      <alignment horizontal="center" vertical="center"/>
    </xf>
    <xf numFmtId="0" fontId="0" fillId="3" borderId="19" xfId="0" applyFill="1" applyBorder="1" applyAlignment="1">
      <alignment horizontal="center"/>
    </xf>
    <xf numFmtId="2" fontId="25" fillId="7" borderId="0" xfId="0" applyNumberFormat="1" applyFont="1" applyFill="1" applyAlignment="1">
      <alignment horizontal="center"/>
    </xf>
    <xf numFmtId="164" fontId="0" fillId="38" borderId="0" xfId="0" applyNumberFormat="1" applyFill="1" applyAlignment="1">
      <alignment horizontal="center" vertical="center"/>
    </xf>
    <xf numFmtId="164" fontId="28" fillId="38" borderId="0" xfId="0" applyNumberFormat="1" applyFont="1" applyFill="1" applyAlignment="1">
      <alignment horizontal="center" vertical="center"/>
    </xf>
    <xf numFmtId="0" fontId="3" fillId="38" borderId="0" xfId="0" applyFont="1" applyFill="1" applyAlignment="1">
      <alignment horizontal="center" vertical="center"/>
    </xf>
    <xf numFmtId="1" fontId="132" fillId="3" borderId="209" xfId="2" applyNumberFormat="1" applyFont="1" applyFill="1" applyBorder="1" applyAlignment="1" applyProtection="1">
      <alignment horizontal="center" vertical="center"/>
    </xf>
    <xf numFmtId="164" fontId="9" fillId="3" borderId="0" xfId="2" applyNumberFormat="1" applyFont="1" applyFill="1" applyBorder="1" applyAlignment="1" applyProtection="1">
      <alignment horizontal="right" vertical="center"/>
    </xf>
    <xf numFmtId="164" fontId="9" fillId="3" borderId="0" xfId="2" applyNumberFormat="1" applyFont="1" applyFill="1" applyBorder="1" applyAlignment="1" applyProtection="1">
      <alignment horizontal="center" vertical="center"/>
    </xf>
    <xf numFmtId="1" fontId="132" fillId="3" borderId="214" xfId="2" applyNumberFormat="1" applyFont="1" applyFill="1" applyBorder="1" applyAlignment="1" applyProtection="1">
      <alignment horizontal="center" vertical="center"/>
      <protection locked="0"/>
    </xf>
    <xf numFmtId="1" fontId="132" fillId="3" borderId="215" xfId="2" applyNumberFormat="1" applyFont="1" applyFill="1" applyBorder="1" applyAlignment="1" applyProtection="1">
      <alignment horizontal="center" vertical="center"/>
      <protection locked="0"/>
    </xf>
    <xf numFmtId="0" fontId="0" fillId="3" borderId="118" xfId="0" applyFill="1" applyBorder="1" applyProtection="1">
      <protection locked="0"/>
    </xf>
    <xf numFmtId="0" fontId="0" fillId="3" borderId="147" xfId="0" applyFill="1" applyBorder="1" applyProtection="1">
      <protection locked="0"/>
    </xf>
    <xf numFmtId="0" fontId="0" fillId="3" borderId="121" xfId="0" applyFill="1" applyBorder="1" applyProtection="1">
      <protection locked="0"/>
    </xf>
    <xf numFmtId="0" fontId="0" fillId="3" borderId="16" xfId="0" applyFill="1" applyBorder="1" applyProtection="1">
      <protection locked="0"/>
    </xf>
    <xf numFmtId="0" fontId="0" fillId="3" borderId="211" xfId="0" applyFill="1" applyBorder="1" applyAlignment="1" applyProtection="1">
      <alignment horizontal="left"/>
      <protection locked="0"/>
    </xf>
    <xf numFmtId="0" fontId="0" fillId="3" borderId="16" xfId="0" applyFill="1" applyBorder="1" applyAlignment="1" applyProtection="1">
      <alignment horizontal="left"/>
      <protection locked="0"/>
    </xf>
    <xf numFmtId="0" fontId="134" fillId="3" borderId="212" xfId="0" applyFont="1" applyFill="1" applyBorder="1" applyAlignment="1" applyProtection="1">
      <alignment horizontal="left"/>
      <protection locked="0"/>
    </xf>
    <xf numFmtId="0" fontId="0" fillId="3" borderId="194" xfId="0" applyFill="1" applyBorder="1"/>
    <xf numFmtId="0" fontId="0" fillId="3" borderId="195" xfId="0" applyFill="1" applyBorder="1"/>
    <xf numFmtId="0" fontId="134" fillId="3" borderId="195" xfId="0" applyFont="1" applyFill="1" applyBorder="1"/>
    <xf numFmtId="0" fontId="0" fillId="3" borderId="6" xfId="0" applyFill="1" applyBorder="1" applyAlignment="1">
      <alignment horizontal="left"/>
    </xf>
    <xf numFmtId="0" fontId="0" fillId="3" borderId="6" xfId="0" applyFill="1" applyBorder="1" applyAlignment="1">
      <alignment horizontal="center"/>
    </xf>
    <xf numFmtId="0" fontId="134" fillId="3" borderId="196" xfId="0" applyFont="1" applyFill="1" applyBorder="1"/>
    <xf numFmtId="0" fontId="0" fillId="3" borderId="191" xfId="0" applyFill="1" applyBorder="1" applyAlignment="1">
      <alignment horizontal="left"/>
    </xf>
    <xf numFmtId="0" fontId="0" fillId="3" borderId="191" xfId="0" applyFill="1" applyBorder="1" applyAlignment="1">
      <alignment horizontal="center"/>
    </xf>
    <xf numFmtId="0" fontId="0" fillId="3" borderId="0" xfId="0" applyFill="1" applyProtection="1">
      <protection locked="0"/>
    </xf>
    <xf numFmtId="0" fontId="62" fillId="34" borderId="118" xfId="0" applyFont="1" applyFill="1" applyBorder="1" applyAlignment="1" applyProtection="1">
      <alignment vertical="center"/>
      <protection locked="0"/>
    </xf>
    <xf numFmtId="0" fontId="62" fillId="34" borderId="119" xfId="0" applyFont="1" applyFill="1" applyBorder="1" applyAlignment="1" applyProtection="1">
      <alignment vertical="center"/>
      <protection locked="0"/>
    </xf>
    <xf numFmtId="0" fontId="0" fillId="3" borderId="119" xfId="0" applyFill="1" applyBorder="1" applyAlignment="1" applyProtection="1">
      <alignment vertical="center"/>
      <protection locked="0"/>
    </xf>
    <xf numFmtId="0" fontId="62" fillId="3" borderId="121" xfId="0" applyFont="1" applyFill="1" applyBorder="1" applyAlignment="1" applyProtection="1">
      <alignment vertical="center"/>
      <protection locked="0"/>
    </xf>
    <xf numFmtId="0" fontId="62" fillId="3" borderId="0" xfId="0" applyFont="1" applyFill="1" applyAlignment="1" applyProtection="1">
      <alignment vertical="center"/>
      <protection locked="0"/>
    </xf>
    <xf numFmtId="0" fontId="13" fillId="3" borderId="121" xfId="0" applyFont="1" applyFill="1" applyBorder="1" applyAlignment="1" applyProtection="1">
      <alignment horizontal="center" vertical="center"/>
      <protection locked="0"/>
    </xf>
    <xf numFmtId="0" fontId="13" fillId="3" borderId="122" xfId="0" applyFon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9" fillId="3" borderId="121" xfId="0" applyFont="1" applyFill="1" applyBorder="1" applyAlignment="1" applyProtection="1">
      <alignment horizontal="left"/>
      <protection locked="0"/>
    </xf>
    <xf numFmtId="0" fontId="9" fillId="3" borderId="0" xfId="0" applyFont="1" applyFill="1" applyAlignment="1" applyProtection="1">
      <alignment horizontal="center" vertical="center"/>
      <protection locked="0"/>
    </xf>
    <xf numFmtId="164" fontId="43" fillId="3" borderId="0" xfId="0" applyNumberFormat="1" applyFont="1" applyFill="1" applyAlignment="1" applyProtection="1">
      <alignment horizontal="center" vertical="center"/>
      <protection locked="0"/>
    </xf>
    <xf numFmtId="0" fontId="4" fillId="3" borderId="0" xfId="0" applyFont="1" applyFill="1" applyAlignment="1" applyProtection="1">
      <alignment horizontal="center"/>
      <protection locked="0"/>
    </xf>
    <xf numFmtId="0" fontId="6" fillId="3" borderId="0" xfId="0" applyFont="1" applyFill="1" applyAlignment="1">
      <alignment horizontal="center" vertical="center"/>
    </xf>
    <xf numFmtId="164" fontId="6" fillId="3" borderId="0" xfId="0" applyNumberFormat="1" applyFont="1" applyFill="1" applyAlignment="1">
      <alignment horizontal="center" vertical="center"/>
    </xf>
    <xf numFmtId="0" fontId="4" fillId="3" borderId="122" xfId="0" applyFont="1" applyFill="1" applyBorder="1" applyProtection="1">
      <protection locked="0"/>
    </xf>
    <xf numFmtId="164" fontId="109" fillId="3" borderId="122" xfId="2" applyNumberFormat="1" applyFont="1" applyFill="1" applyBorder="1" applyAlignment="1" applyProtection="1">
      <alignment horizontal="center" vertical="center"/>
      <protection locked="0"/>
    </xf>
    <xf numFmtId="164" fontId="4" fillId="3" borderId="122" xfId="0" applyNumberFormat="1" applyFont="1" applyFill="1" applyBorder="1" applyAlignment="1" applyProtection="1">
      <alignment horizontal="center" vertical="center"/>
      <protection locked="0"/>
    </xf>
    <xf numFmtId="2" fontId="4" fillId="3" borderId="122" xfId="0" applyNumberFormat="1" applyFont="1" applyFill="1" applyBorder="1" applyAlignment="1" applyProtection="1">
      <alignment horizontal="center" vertical="center"/>
      <protection locked="0"/>
    </xf>
    <xf numFmtId="164" fontId="4" fillId="3" borderId="131" xfId="0" applyNumberFormat="1" applyFont="1" applyFill="1" applyBorder="1" applyAlignment="1" applyProtection="1">
      <alignment horizontal="center" vertical="center"/>
      <protection locked="0"/>
    </xf>
    <xf numFmtId="0" fontId="0" fillId="3" borderId="125" xfId="0" applyFill="1" applyBorder="1" applyAlignment="1" applyProtection="1">
      <alignment horizontal="center"/>
      <protection locked="0"/>
    </xf>
    <xf numFmtId="164" fontId="4" fillId="3" borderId="130" xfId="0" applyNumberFormat="1" applyFont="1" applyFill="1" applyBorder="1" applyAlignment="1" applyProtection="1">
      <alignment horizontal="center" vertical="center"/>
      <protection locked="0"/>
    </xf>
    <xf numFmtId="0" fontId="13" fillId="3" borderId="125"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2" fillId="3" borderId="0" xfId="0" applyFont="1" applyFill="1" applyAlignment="1" applyProtection="1">
      <alignment horizontal="left" vertical="center"/>
      <protection locked="0"/>
    </xf>
    <xf numFmtId="0" fontId="53" fillId="0" borderId="0" xfId="0" applyFont="1" applyAlignment="1" applyProtection="1">
      <alignment vertical="center"/>
      <protection locked="0"/>
    </xf>
    <xf numFmtId="0" fontId="124" fillId="3" borderId="0" xfId="0" applyFont="1" applyFill="1" applyAlignment="1" applyProtection="1">
      <alignment horizontal="left"/>
      <protection locked="0"/>
    </xf>
    <xf numFmtId="0" fontId="70" fillId="3" borderId="28" xfId="0" applyFont="1" applyFill="1" applyBorder="1" applyAlignment="1" applyProtection="1">
      <alignment horizontal="left" vertical="center"/>
      <protection locked="0"/>
    </xf>
    <xf numFmtId="0" fontId="137" fillId="3" borderId="28" xfId="0" applyFont="1" applyFill="1" applyBorder="1" applyAlignment="1" applyProtection="1">
      <alignment horizontal="center" vertical="center"/>
      <protection locked="0"/>
    </xf>
    <xf numFmtId="2" fontId="0" fillId="49" borderId="61" xfId="0" applyNumberFormat="1" applyFill="1" applyBorder="1" applyAlignment="1" applyProtection="1">
      <alignment horizontal="center"/>
      <protection locked="0"/>
    </xf>
    <xf numFmtId="2" fontId="0" fillId="49" borderId="199" xfId="0" applyNumberFormat="1" applyFill="1" applyBorder="1" applyAlignment="1" applyProtection="1">
      <alignment horizontal="center"/>
      <protection locked="0"/>
    </xf>
    <xf numFmtId="2" fontId="0" fillId="49" borderId="213" xfId="0" applyNumberFormat="1" applyFill="1" applyBorder="1" applyAlignment="1" applyProtection="1">
      <alignment horizontal="left"/>
      <protection locked="0"/>
    </xf>
    <xf numFmtId="1" fontId="0" fillId="49" borderId="213" xfId="0" applyNumberFormat="1" applyFill="1" applyBorder="1" applyAlignment="1" applyProtection="1">
      <alignment horizontal="center"/>
      <protection locked="0"/>
    </xf>
    <xf numFmtId="164" fontId="120" fillId="4" borderId="24" xfId="0" applyNumberFormat="1" applyFont="1" applyFill="1" applyBorder="1" applyAlignment="1">
      <alignment horizontal="center" vertical="center"/>
    </xf>
    <xf numFmtId="1" fontId="45" fillId="6" borderId="0" xfId="0" applyNumberFormat="1" applyFont="1" applyFill="1" applyAlignment="1">
      <alignment horizontal="center" vertical="center"/>
    </xf>
    <xf numFmtId="0" fontId="45" fillId="6" borderId="0" xfId="1" applyNumberFormat="1" applyFont="1" applyFill="1" applyBorder="1" applyAlignment="1" applyProtection="1">
      <alignment horizontal="center" vertical="center"/>
    </xf>
    <xf numFmtId="0" fontId="45" fillId="6" borderId="0" xfId="0" applyFont="1" applyFill="1" applyAlignment="1">
      <alignment vertical="center"/>
    </xf>
    <xf numFmtId="0" fontId="45" fillId="6" borderId="0" xfId="0" applyFont="1" applyFill="1" applyAlignment="1">
      <alignment horizontal="center" vertical="center"/>
    </xf>
    <xf numFmtId="164" fontId="45" fillId="6" borderId="0" xfId="1" applyNumberFormat="1" applyFont="1" applyFill="1" applyBorder="1" applyAlignment="1" applyProtection="1">
      <alignment horizontal="center" vertical="center"/>
    </xf>
    <xf numFmtId="164" fontId="45" fillId="6" borderId="0" xfId="0" applyNumberFormat="1" applyFont="1" applyFill="1" applyAlignment="1">
      <alignment horizontal="center" vertical="center"/>
    </xf>
    <xf numFmtId="1" fontId="142" fillId="6" borderId="0" xfId="0" applyNumberFormat="1" applyFont="1" applyFill="1" applyAlignment="1">
      <alignment horizontal="center" vertical="center"/>
    </xf>
    <xf numFmtId="0" fontId="124" fillId="0" borderId="0" xfId="0" applyFont="1" applyAlignment="1">
      <alignment vertical="center"/>
    </xf>
    <xf numFmtId="164" fontId="9" fillId="48" borderId="210" xfId="1" applyNumberFormat="1" applyFont="1" applyFill="1" applyBorder="1" applyAlignment="1" applyProtection="1">
      <alignment horizontal="center" vertical="center"/>
    </xf>
    <xf numFmtId="1" fontId="4" fillId="48" borderId="153" xfId="2" applyNumberFormat="1" applyFont="1" applyFill="1" applyBorder="1" applyAlignment="1" applyProtection="1">
      <alignment horizontal="center" vertical="center"/>
    </xf>
    <xf numFmtId="0" fontId="12" fillId="0" borderId="0" xfId="0" applyFont="1" applyAlignment="1">
      <alignment horizontal="left" vertical="top" wrapText="1"/>
    </xf>
    <xf numFmtId="0" fontId="2" fillId="49" borderId="153" xfId="0" applyFont="1" applyFill="1" applyBorder="1" applyAlignment="1" applyProtection="1">
      <alignment horizontal="center" vertical="center"/>
      <protection locked="0"/>
    </xf>
    <xf numFmtId="14" fontId="9" fillId="2" borderId="153" xfId="2" applyNumberFormat="1" applyFont="1" applyFill="1" applyBorder="1" applyAlignment="1" applyProtection="1">
      <alignment horizontal="center" vertical="center"/>
      <protection locked="0"/>
    </xf>
    <xf numFmtId="1" fontId="9" fillId="2" borderId="153" xfId="2" applyNumberFormat="1" applyFont="1" applyFill="1" applyBorder="1" applyAlignment="1" applyProtection="1">
      <alignment horizontal="center" vertical="center"/>
      <protection locked="0"/>
    </xf>
    <xf numFmtId="164" fontId="9" fillId="2" borderId="153" xfId="2" applyNumberFormat="1" applyFont="1" applyFill="1" applyBorder="1" applyAlignment="1" applyProtection="1">
      <alignment horizontal="center" vertical="center"/>
      <protection locked="0"/>
    </xf>
    <xf numFmtId="2" fontId="0" fillId="3" borderId="147" xfId="0" applyNumberFormat="1" applyFill="1" applyBorder="1" applyAlignment="1">
      <alignment horizontal="center" vertical="center"/>
    </xf>
    <xf numFmtId="2" fontId="0" fillId="3" borderId="16" xfId="0" applyNumberFormat="1" applyFill="1" applyBorder="1" applyAlignment="1">
      <alignment horizontal="center" vertical="center"/>
    </xf>
    <xf numFmtId="0" fontId="0" fillId="3" borderId="147" xfId="0" applyFill="1" applyBorder="1" applyAlignment="1">
      <alignment horizontal="center"/>
    </xf>
    <xf numFmtId="0" fontId="0" fillId="3" borderId="16" xfId="0" applyFill="1" applyBorder="1" applyAlignment="1">
      <alignment horizontal="center"/>
    </xf>
    <xf numFmtId="0" fontId="0" fillId="44" borderId="192" xfId="0" applyFill="1" applyBorder="1" applyAlignment="1">
      <alignment horizontal="center" vertical="center"/>
    </xf>
    <xf numFmtId="0" fontId="0" fillId="44" borderId="193" xfId="0" applyFill="1" applyBorder="1" applyAlignment="1">
      <alignment horizontal="center" vertical="center"/>
    </xf>
    <xf numFmtId="0" fontId="0" fillId="44" borderId="56" xfId="0" applyFill="1" applyBorder="1" applyAlignment="1">
      <alignment horizontal="center" vertical="center"/>
    </xf>
    <xf numFmtId="0" fontId="0" fillId="0" borderId="186" xfId="0" applyBorder="1"/>
    <xf numFmtId="0" fontId="10" fillId="0" borderId="187" xfId="0" applyFont="1" applyBorder="1"/>
    <xf numFmtId="0" fontId="2" fillId="0" borderId="187" xfId="0" applyFont="1" applyBorder="1" applyAlignment="1">
      <alignment horizontal="center"/>
    </xf>
    <xf numFmtId="0" fontId="0" fillId="52" borderId="188" xfId="0" applyFill="1" applyBorder="1" applyAlignment="1">
      <alignment horizontal="center" vertical="center"/>
    </xf>
    <xf numFmtId="0" fontId="0" fillId="52" borderId="189" xfId="0" applyFill="1" applyBorder="1" applyAlignment="1">
      <alignment horizontal="center" vertical="center"/>
    </xf>
    <xf numFmtId="0" fontId="0" fillId="52" borderId="190" xfId="0" applyFill="1" applyBorder="1" applyAlignment="1">
      <alignment horizontal="center" vertical="center"/>
    </xf>
    <xf numFmtId="0" fontId="0" fillId="44" borderId="205" xfId="0" applyFill="1" applyBorder="1" applyAlignment="1">
      <alignment horizontal="center" vertical="center"/>
    </xf>
    <xf numFmtId="0" fontId="0" fillId="44" borderId="206" xfId="0" applyFill="1" applyBorder="1" applyAlignment="1">
      <alignment horizontal="center" vertical="center"/>
    </xf>
    <xf numFmtId="0" fontId="0" fillId="44" borderId="207" xfId="0" applyFill="1" applyBorder="1" applyAlignment="1">
      <alignment horizontal="center" vertical="center"/>
    </xf>
    <xf numFmtId="0" fontId="10" fillId="3" borderId="103" xfId="0" applyFont="1" applyFill="1" applyBorder="1"/>
    <xf numFmtId="0" fontId="0" fillId="51" borderId="103" xfId="0" applyFill="1" applyBorder="1" applyAlignment="1">
      <alignment horizontal="center" vertical="center"/>
    </xf>
    <xf numFmtId="0" fontId="0" fillId="44" borderId="200" xfId="0" applyFill="1" applyBorder="1" applyAlignment="1">
      <alignment horizontal="center" vertical="center"/>
    </xf>
    <xf numFmtId="0" fontId="0" fillId="44" borderId="187" xfId="0" applyFill="1" applyBorder="1" applyAlignment="1">
      <alignment horizontal="center" vertical="center"/>
    </xf>
    <xf numFmtId="0" fontId="0" fillId="44" borderId="201" xfId="0" applyFill="1" applyBorder="1" applyAlignment="1">
      <alignment horizontal="center" vertical="center"/>
    </xf>
    <xf numFmtId="0" fontId="0" fillId="51" borderId="61" xfId="0" applyFill="1" applyBorder="1" applyAlignment="1">
      <alignment horizontal="center" vertical="center"/>
    </xf>
    <xf numFmtId="0" fontId="0" fillId="51" borderId="6" xfId="0" applyFill="1" applyBorder="1" applyAlignment="1">
      <alignment horizontal="center" vertical="center"/>
    </xf>
    <xf numFmtId="0" fontId="0" fillId="51" borderId="197" xfId="0" applyFill="1" applyBorder="1" applyAlignment="1">
      <alignment horizontal="center" vertical="center"/>
    </xf>
    <xf numFmtId="2" fontId="0" fillId="3" borderId="0" xfId="0" applyNumberFormat="1" applyFill="1" applyAlignment="1">
      <alignment horizontal="center" vertical="center"/>
    </xf>
    <xf numFmtId="0" fontId="2" fillId="29" borderId="114" xfId="0" applyFont="1" applyFill="1" applyBorder="1"/>
    <xf numFmtId="0" fontId="2" fillId="47" borderId="113" xfId="0" applyFont="1" applyFill="1" applyBorder="1"/>
    <xf numFmtId="0" fontId="0" fillId="3" borderId="193" xfId="0" applyFill="1" applyBorder="1" applyAlignment="1">
      <alignment horizontal="center" vertical="center"/>
    </xf>
    <xf numFmtId="0" fontId="0" fillId="3" borderId="56" xfId="0" applyFill="1" applyBorder="1" applyAlignment="1">
      <alignment horizontal="center" vertical="center"/>
    </xf>
    <xf numFmtId="0" fontId="0" fillId="3" borderId="188" xfId="0" applyFill="1" applyBorder="1" applyAlignment="1">
      <alignment horizontal="center" vertical="center"/>
    </xf>
    <xf numFmtId="0" fontId="0" fillId="3" borderId="189" xfId="0" applyFill="1" applyBorder="1" applyAlignment="1">
      <alignment horizontal="center" vertical="center"/>
    </xf>
    <xf numFmtId="0" fontId="0" fillId="3" borderId="190" xfId="0" applyFill="1" applyBorder="1" applyAlignment="1">
      <alignment horizontal="center" vertical="center"/>
    </xf>
    <xf numFmtId="2" fontId="0" fillId="0" borderId="0" xfId="0" quotePrefix="1" applyNumberFormat="1"/>
    <xf numFmtId="1" fontId="0" fillId="0" borderId="0" xfId="0" applyNumberFormat="1" applyAlignment="1" applyProtection="1">
      <alignment horizontal="center" vertical="center"/>
      <protection locked="0"/>
    </xf>
    <xf numFmtId="2" fontId="0" fillId="0" borderId="0" xfId="0" applyNumberFormat="1" applyProtection="1">
      <protection locked="0"/>
    </xf>
    <xf numFmtId="164" fontId="0" fillId="3" borderId="147" xfId="0" applyNumberFormat="1" applyFill="1" applyBorder="1" applyAlignment="1">
      <alignment horizontal="center" vertical="center"/>
    </xf>
    <xf numFmtId="0" fontId="143" fillId="3" borderId="0" xfId="0" applyFont="1" applyFill="1" applyAlignment="1">
      <alignment horizontal="left"/>
    </xf>
    <xf numFmtId="0" fontId="143" fillId="3" borderId="124" xfId="0" applyFont="1" applyFill="1" applyBorder="1" applyAlignment="1">
      <alignment horizontal="left"/>
    </xf>
    <xf numFmtId="0" fontId="115" fillId="3" borderId="0" xfId="0" quotePrefix="1" applyFont="1" applyFill="1" applyAlignment="1">
      <alignment horizontal="center" vertical="center"/>
    </xf>
    <xf numFmtId="1" fontId="3" fillId="8" borderId="149" xfId="2" applyNumberFormat="1" applyFont="1" applyFill="1" applyBorder="1" applyAlignment="1" applyProtection="1">
      <alignment horizontal="center" vertical="center"/>
      <protection locked="0"/>
    </xf>
    <xf numFmtId="0" fontId="12" fillId="0" borderId="23" xfId="0" applyFont="1" applyBorder="1" applyAlignment="1">
      <alignment horizontal="left" vertical="top" wrapText="1"/>
    </xf>
    <xf numFmtId="0" fontId="12" fillId="0" borderId="24" xfId="0" applyFont="1" applyBorder="1" applyAlignment="1">
      <alignment horizontal="left" vertical="top" wrapText="1"/>
    </xf>
    <xf numFmtId="0" fontId="12" fillId="0" borderId="25" xfId="0" applyFont="1" applyBorder="1" applyAlignment="1">
      <alignment horizontal="left" vertical="top" wrapText="1"/>
    </xf>
    <xf numFmtId="0" fontId="12" fillId="0" borderId="2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30" fillId="0" borderId="0" xfId="0" applyFont="1" applyAlignment="1">
      <alignment horizontal="left" vertical="top" wrapText="1"/>
    </xf>
    <xf numFmtId="0" fontId="129" fillId="0" borderId="0" xfId="0" applyFont="1" applyAlignment="1">
      <alignment horizontal="left" vertical="center" wrapText="1"/>
    </xf>
    <xf numFmtId="0" fontId="58" fillId="0" borderId="0" xfId="0" applyFont="1" applyAlignment="1">
      <alignment horizontal="left" vertical="top" wrapText="1"/>
    </xf>
    <xf numFmtId="0" fontId="0" fillId="0" borderId="0" xfId="0" applyAlignment="1">
      <alignment horizontal="left" vertical="top" wrapText="1"/>
    </xf>
    <xf numFmtId="0" fontId="13" fillId="3" borderId="137" xfId="0" applyFont="1" applyFill="1" applyBorder="1" applyAlignment="1">
      <alignment horizontal="center" vertical="center"/>
    </xf>
    <xf numFmtId="0" fontId="13" fillId="3" borderId="121" xfId="0" applyFont="1" applyFill="1" applyBorder="1" applyAlignment="1">
      <alignment horizontal="center" vertical="center"/>
    </xf>
    <xf numFmtId="0" fontId="9" fillId="3" borderId="121" xfId="0" applyFont="1" applyFill="1" applyBorder="1" applyAlignment="1">
      <alignment horizontal="center" vertical="center"/>
    </xf>
    <xf numFmtId="1" fontId="9" fillId="3" borderId="121" xfId="2" applyNumberFormat="1" applyFont="1" applyFill="1" applyBorder="1" applyAlignment="1" applyProtection="1">
      <alignment horizontal="center" vertical="center"/>
      <protection locked="0"/>
    </xf>
    <xf numFmtId="164" fontId="2" fillId="50" borderId="154" xfId="2" applyNumberFormat="1" applyFont="1" applyFill="1" applyBorder="1" applyAlignment="1" applyProtection="1">
      <alignment horizontal="center" vertical="center" wrapText="1"/>
      <protection locked="0"/>
    </xf>
    <xf numFmtId="164" fontId="2" fillId="50" borderId="155" xfId="2" applyNumberFormat="1" applyFont="1" applyFill="1" applyBorder="1" applyAlignment="1" applyProtection="1">
      <alignment horizontal="center" vertical="center" wrapText="1"/>
      <protection locked="0"/>
    </xf>
    <xf numFmtId="164" fontId="2" fillId="50" borderId="156" xfId="2" applyNumberFormat="1" applyFont="1" applyFill="1" applyBorder="1" applyAlignment="1" applyProtection="1">
      <alignment horizontal="center" vertical="center" wrapText="1"/>
      <protection locked="0"/>
    </xf>
    <xf numFmtId="164" fontId="2" fillId="50" borderId="157" xfId="2" applyNumberFormat="1" applyFont="1" applyFill="1" applyBorder="1" applyAlignment="1" applyProtection="1">
      <alignment horizontal="center" vertical="center" wrapText="1"/>
      <protection locked="0"/>
    </xf>
    <xf numFmtId="164" fontId="2" fillId="50" borderId="158" xfId="2" applyNumberFormat="1" applyFont="1" applyFill="1" applyBorder="1" applyAlignment="1" applyProtection="1">
      <alignment horizontal="center" vertical="center" wrapText="1"/>
      <protection locked="0"/>
    </xf>
    <xf numFmtId="164" fontId="2" fillId="50" borderId="159" xfId="2" applyNumberFormat="1" applyFont="1" applyFill="1" applyBorder="1" applyAlignment="1" applyProtection="1">
      <alignment horizontal="center" vertical="center" wrapText="1"/>
      <protection locked="0"/>
    </xf>
    <xf numFmtId="164" fontId="109" fillId="3" borderId="126" xfId="2" applyNumberFormat="1" applyFont="1" applyFill="1" applyBorder="1" applyAlignment="1" applyProtection="1">
      <alignment horizontal="center" vertical="center"/>
      <protection locked="0"/>
    </xf>
    <xf numFmtId="164" fontId="109" fillId="3" borderId="123" xfId="2" applyNumberFormat="1" applyFont="1" applyFill="1" applyBorder="1" applyAlignment="1" applyProtection="1">
      <alignment horizontal="center" vertical="center"/>
      <protection locked="0"/>
    </xf>
    <xf numFmtId="164" fontId="4" fillId="49" borderId="128" xfId="2" applyNumberFormat="1" applyFont="1" applyFill="1" applyBorder="1" applyAlignment="1" applyProtection="1">
      <alignment horizontal="center" vertical="center" wrapText="1"/>
      <protection locked="0"/>
    </xf>
    <xf numFmtId="164" fontId="4" fillId="49" borderId="129" xfId="2" applyNumberFormat="1" applyFont="1" applyFill="1" applyBorder="1" applyAlignment="1" applyProtection="1">
      <alignment horizontal="center" vertical="center" wrapText="1"/>
      <protection locked="0"/>
    </xf>
    <xf numFmtId="164" fontId="4" fillId="48" borderId="128" xfId="2" applyNumberFormat="1" applyFont="1" applyFill="1" applyBorder="1" applyAlignment="1" applyProtection="1">
      <alignment horizontal="center" vertical="center"/>
    </xf>
    <xf numFmtId="164" fontId="4" fillId="48" borderId="129" xfId="2" applyNumberFormat="1" applyFont="1" applyFill="1" applyBorder="1" applyAlignment="1" applyProtection="1">
      <alignment horizontal="center" vertical="center"/>
    </xf>
    <xf numFmtId="9" fontId="3" fillId="3" borderId="98" xfId="0" applyNumberFormat="1" applyFont="1" applyFill="1" applyBorder="1" applyAlignment="1">
      <alignment horizontal="center" vertical="center" wrapText="1"/>
    </xf>
    <xf numFmtId="0" fontId="3" fillId="3" borderId="98" xfId="0" applyFont="1" applyFill="1" applyBorder="1" applyAlignment="1">
      <alignment horizontal="center" vertical="center" wrapText="1"/>
    </xf>
    <xf numFmtId="9" fontId="3" fillId="3" borderId="0" xfId="0" applyNumberFormat="1" applyFont="1" applyFill="1" applyAlignment="1">
      <alignment horizontal="center" vertical="center" wrapText="1"/>
    </xf>
    <xf numFmtId="0" fontId="3" fillId="3" borderId="0" xfId="0" applyFont="1" applyFill="1" applyAlignment="1">
      <alignment horizontal="center" vertical="center" wrapText="1"/>
    </xf>
    <xf numFmtId="164" fontId="2" fillId="50" borderId="154" xfId="2" applyNumberFormat="1" applyFont="1" applyFill="1" applyBorder="1" applyAlignment="1" applyProtection="1">
      <alignment horizontal="center" vertical="center" shrinkToFit="1"/>
      <protection locked="0"/>
    </xf>
    <xf numFmtId="164" fontId="2" fillId="50" borderId="155" xfId="2" applyNumberFormat="1" applyFont="1" applyFill="1" applyBorder="1" applyAlignment="1" applyProtection="1">
      <alignment horizontal="center" vertical="center" shrinkToFit="1"/>
      <protection locked="0"/>
    </xf>
    <xf numFmtId="164" fontId="4" fillId="49" borderId="128" xfId="2" applyNumberFormat="1" applyFont="1" applyFill="1" applyBorder="1" applyAlignment="1" applyProtection="1">
      <alignment horizontal="center" vertical="center"/>
      <protection locked="0"/>
    </xf>
    <xf numFmtId="164" fontId="4" fillId="49" borderId="129" xfId="2" applyNumberFormat="1" applyFont="1" applyFill="1" applyBorder="1" applyAlignment="1" applyProtection="1">
      <alignment horizontal="center" vertical="center"/>
      <protection locked="0"/>
    </xf>
    <xf numFmtId="164" fontId="85" fillId="3" borderId="128" xfId="0" applyNumberFormat="1" applyFont="1" applyFill="1" applyBorder="1" applyAlignment="1">
      <alignment horizontal="center" vertical="center"/>
    </xf>
    <xf numFmtId="164" fontId="85" fillId="3" borderId="129" xfId="0" applyNumberFormat="1" applyFont="1" applyFill="1" applyBorder="1" applyAlignment="1">
      <alignment horizontal="center" vertical="center"/>
    </xf>
    <xf numFmtId="0" fontId="128" fillId="45" borderId="171" xfId="0" applyFont="1" applyFill="1" applyBorder="1" applyAlignment="1">
      <alignment horizontal="center" vertical="center"/>
    </xf>
    <xf numFmtId="0" fontId="128" fillId="45" borderId="172" xfId="0" applyFont="1" applyFill="1" applyBorder="1" applyAlignment="1">
      <alignment horizontal="center" vertical="center"/>
    </xf>
    <xf numFmtId="0" fontId="128" fillId="45" borderId="173" xfId="0" applyFont="1" applyFill="1" applyBorder="1" applyAlignment="1">
      <alignment horizontal="center" vertical="center"/>
    </xf>
    <xf numFmtId="0" fontId="128" fillId="45" borderId="176" xfId="0" applyFont="1" applyFill="1" applyBorder="1" applyAlignment="1">
      <alignment horizontal="center" vertical="center"/>
    </xf>
    <xf numFmtId="0" fontId="128" fillId="45" borderId="125" xfId="0" applyFont="1" applyFill="1" applyBorder="1" applyAlignment="1">
      <alignment horizontal="center" vertical="center"/>
    </xf>
    <xf numFmtId="0" fontId="128" fillId="45" borderId="177" xfId="0" applyFont="1" applyFill="1" applyBorder="1" applyAlignment="1">
      <alignment horizontal="center" vertical="center"/>
    </xf>
    <xf numFmtId="0" fontId="43" fillId="37" borderId="0" xfId="0" applyFont="1" applyFill="1" applyAlignment="1">
      <alignment horizontal="center" vertical="center" wrapText="1"/>
    </xf>
    <xf numFmtId="164" fontId="2" fillId="3" borderId="115" xfId="0" applyNumberFormat="1" applyFont="1" applyFill="1" applyBorder="1" applyAlignment="1">
      <alignment horizontal="center" vertical="center"/>
    </xf>
    <xf numFmtId="164" fontId="2" fillId="3" borderId="116" xfId="0" applyNumberFormat="1" applyFont="1" applyFill="1" applyBorder="1" applyAlignment="1">
      <alignment horizontal="center" vertical="center"/>
    </xf>
    <xf numFmtId="1" fontId="2" fillId="3" borderId="115" xfId="0" applyNumberFormat="1" applyFont="1" applyFill="1" applyBorder="1" applyAlignment="1">
      <alignment horizontal="center" vertical="center"/>
    </xf>
    <xf numFmtId="1" fontId="2" fillId="3" borderId="116" xfId="0" applyNumberFormat="1" applyFont="1" applyFill="1" applyBorder="1" applyAlignment="1">
      <alignment horizontal="center" vertical="center"/>
    </xf>
    <xf numFmtId="0" fontId="7" fillId="39" borderId="115" xfId="0" applyFont="1" applyFill="1" applyBorder="1" applyAlignment="1">
      <alignment horizontal="center" vertical="center"/>
    </xf>
    <xf numFmtId="0" fontId="7" fillId="39" borderId="116" xfId="0" applyFont="1" applyFill="1" applyBorder="1" applyAlignment="1">
      <alignment horizontal="center" vertical="center"/>
    </xf>
    <xf numFmtId="164" fontId="85" fillId="3" borderId="128" xfId="0" applyNumberFormat="1" applyFont="1" applyFill="1" applyBorder="1" applyAlignment="1">
      <alignment horizontal="center" vertical="center" wrapText="1"/>
    </xf>
    <xf numFmtId="164" fontId="85" fillId="3" borderId="129" xfId="0" applyNumberFormat="1" applyFont="1" applyFill="1" applyBorder="1" applyAlignment="1">
      <alignment horizontal="center" vertical="center" wrapText="1"/>
    </xf>
    <xf numFmtId="170" fontId="4" fillId="3" borderId="126" xfId="2" applyNumberFormat="1" applyFont="1" applyFill="1" applyBorder="1" applyAlignment="1" applyProtection="1">
      <alignment horizontal="center" vertical="center"/>
    </xf>
    <xf numFmtId="170" fontId="4" fillId="3" borderId="123" xfId="2" applyNumberFormat="1" applyFont="1" applyFill="1" applyBorder="1" applyAlignment="1" applyProtection="1">
      <alignment horizontal="center" vertical="center"/>
    </xf>
    <xf numFmtId="164" fontId="7" fillId="3" borderId="128" xfId="2" applyNumberFormat="1" applyFont="1" applyFill="1" applyBorder="1" applyAlignment="1" applyProtection="1">
      <alignment horizontal="center" vertical="center"/>
    </xf>
    <xf numFmtId="164" fontId="7" fillId="3" borderId="129" xfId="2" applyNumberFormat="1" applyFont="1" applyFill="1" applyBorder="1" applyAlignment="1" applyProtection="1">
      <alignment horizontal="center" vertical="center"/>
    </xf>
    <xf numFmtId="164" fontId="110" fillId="3" borderId="115" xfId="2" applyNumberFormat="1" applyFont="1" applyFill="1" applyBorder="1" applyAlignment="1" applyProtection="1">
      <alignment horizontal="center" vertical="center"/>
    </xf>
    <xf numFmtId="164" fontId="110" fillId="3" borderId="116" xfId="2" applyNumberFormat="1" applyFont="1" applyFill="1" applyBorder="1" applyAlignment="1" applyProtection="1">
      <alignment horizontal="center" vertical="center"/>
    </xf>
    <xf numFmtId="171" fontId="2" fillId="5" borderId="115" xfId="2" applyNumberFormat="1" applyFont="1" applyFill="1" applyBorder="1" applyAlignment="1" applyProtection="1">
      <alignment horizontal="center" vertical="center"/>
      <protection locked="0"/>
    </xf>
    <xf numFmtId="171" fontId="2" fillId="5" borderId="116" xfId="2" applyNumberFormat="1" applyFont="1" applyFill="1" applyBorder="1" applyAlignment="1" applyProtection="1">
      <alignment horizontal="center" vertical="center"/>
      <protection locked="0"/>
    </xf>
    <xf numFmtId="0" fontId="43" fillId="37" borderId="128" xfId="0" applyFont="1" applyFill="1" applyBorder="1" applyAlignment="1">
      <alignment horizontal="center" vertical="center" wrapText="1"/>
    </xf>
    <xf numFmtId="0" fontId="43" fillId="37" borderId="129" xfId="0" applyFont="1" applyFill="1" applyBorder="1" applyAlignment="1">
      <alignment horizontal="center" vertical="center" wrapText="1"/>
    </xf>
    <xf numFmtId="0" fontId="20" fillId="22" borderId="119" xfId="0" applyFont="1" applyFill="1" applyBorder="1" applyAlignment="1">
      <alignment horizontal="center" vertical="center"/>
    </xf>
    <xf numFmtId="0" fontId="7" fillId="41" borderId="23" xfId="0" applyFont="1" applyFill="1" applyBorder="1" applyAlignment="1">
      <alignment horizontal="center" vertical="center" wrapText="1"/>
    </xf>
    <xf numFmtId="0" fontId="7" fillId="41" borderId="25" xfId="0" applyFont="1" applyFill="1" applyBorder="1" applyAlignment="1">
      <alignment horizontal="center" vertical="center" wrapText="1"/>
    </xf>
    <xf numFmtId="0" fontId="13" fillId="3" borderId="118" xfId="0" applyFont="1" applyFill="1" applyBorder="1" applyAlignment="1">
      <alignment horizontal="center" vertical="center"/>
    </xf>
    <xf numFmtId="0" fontId="13" fillId="3" borderId="120" xfId="0" applyFont="1" applyFill="1" applyBorder="1" applyAlignment="1">
      <alignment horizontal="center" vertical="center"/>
    </xf>
    <xf numFmtId="164" fontId="20" fillId="22" borderId="119" xfId="0" applyNumberFormat="1" applyFont="1" applyFill="1" applyBorder="1" applyAlignment="1">
      <alignment horizontal="center" vertical="center"/>
    </xf>
    <xf numFmtId="0" fontId="4" fillId="3" borderId="118" xfId="0" applyFont="1" applyFill="1" applyBorder="1" applyAlignment="1">
      <alignment horizontal="center" vertical="center"/>
    </xf>
    <xf numFmtId="0" fontId="4" fillId="3" borderId="119" xfId="0" applyFont="1" applyFill="1" applyBorder="1" applyAlignment="1">
      <alignment horizontal="center" vertical="center"/>
    </xf>
    <xf numFmtId="0" fontId="2" fillId="4" borderId="0" xfId="0" applyFont="1" applyFill="1" applyAlignment="1">
      <alignment horizontal="center"/>
    </xf>
    <xf numFmtId="0" fontId="7" fillId="40" borderId="115" xfId="0" applyFont="1" applyFill="1" applyBorder="1" applyAlignment="1">
      <alignment horizontal="center" vertical="center"/>
    </xf>
    <xf numFmtId="0" fontId="7" fillId="40" borderId="116" xfId="0" applyFont="1" applyFill="1" applyBorder="1" applyAlignment="1">
      <alignment horizontal="center" vertical="center"/>
    </xf>
    <xf numFmtId="164" fontId="2" fillId="0" borderId="23" xfId="0" applyNumberFormat="1" applyFont="1" applyBorder="1" applyAlignment="1">
      <alignment horizontal="center" vertical="center"/>
    </xf>
    <xf numFmtId="164" fontId="2" fillId="0" borderId="27" xfId="0" applyNumberFormat="1" applyFont="1" applyBorder="1" applyAlignment="1">
      <alignment horizontal="center" vertical="center"/>
    </xf>
    <xf numFmtId="2" fontId="4" fillId="33" borderId="115" xfId="0" applyNumberFormat="1" applyFont="1" applyFill="1" applyBorder="1" applyAlignment="1">
      <alignment horizontal="center" vertical="center"/>
    </xf>
    <xf numFmtId="2" fontId="4" fillId="33" borderId="116" xfId="0" applyNumberFormat="1" applyFont="1" applyFill="1" applyBorder="1" applyAlignment="1">
      <alignment horizontal="center" vertical="center"/>
    </xf>
    <xf numFmtId="0" fontId="7" fillId="40" borderId="23" xfId="0" applyFont="1" applyFill="1" applyBorder="1" applyAlignment="1">
      <alignment horizontal="center" vertical="center"/>
    </xf>
    <xf numFmtId="0" fontId="7" fillId="40" borderId="27" xfId="0" applyFont="1" applyFill="1" applyBorder="1" applyAlignment="1">
      <alignment horizontal="center" vertical="center"/>
    </xf>
    <xf numFmtId="164" fontId="2" fillId="3" borderId="169" xfId="0" applyNumberFormat="1" applyFont="1" applyFill="1" applyBorder="1" applyAlignment="1">
      <alignment horizontal="center" vertical="center"/>
    </xf>
    <xf numFmtId="164" fontId="2" fillId="3" borderId="170" xfId="0" applyNumberFormat="1" applyFont="1" applyFill="1" applyBorder="1" applyAlignment="1">
      <alignment horizontal="center" vertical="center"/>
    </xf>
    <xf numFmtId="0" fontId="2" fillId="0" borderId="174" xfId="0" applyFont="1" applyBorder="1" applyAlignment="1">
      <alignment horizontal="center" vertical="center"/>
    </xf>
    <xf numFmtId="170" fontId="4" fillId="3" borderId="127" xfId="2" applyNumberFormat="1" applyFont="1" applyFill="1" applyBorder="1" applyAlignment="1" applyProtection="1">
      <alignment horizontal="center" vertical="center"/>
    </xf>
    <xf numFmtId="164" fontId="7" fillId="3" borderId="135" xfId="2" applyNumberFormat="1" applyFont="1" applyFill="1" applyBorder="1" applyAlignment="1" applyProtection="1">
      <alignment horizontal="center" vertical="center"/>
    </xf>
    <xf numFmtId="0" fontId="0" fillId="3" borderId="134" xfId="0" applyFill="1" applyBorder="1" applyAlignment="1">
      <alignment horizontal="center"/>
    </xf>
    <xf numFmtId="0" fontId="7" fillId="3" borderId="0" xfId="0" applyFont="1" applyFill="1" applyAlignment="1">
      <alignment horizontal="center" vertical="center"/>
    </xf>
    <xf numFmtId="0" fontId="7" fillId="40" borderId="23" xfId="0" applyFont="1" applyFill="1" applyBorder="1" applyAlignment="1">
      <alignment horizontal="center" vertical="center" wrapText="1"/>
    </xf>
    <xf numFmtId="0" fontId="7" fillId="40" borderId="27" xfId="0" applyFont="1" applyFill="1" applyBorder="1" applyAlignment="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99" fillId="3" borderId="0" xfId="0" applyFont="1" applyFill="1" applyAlignment="1">
      <alignment horizontal="center" vertical="center"/>
    </xf>
    <xf numFmtId="2" fontId="4" fillId="35" borderId="115" xfId="0" applyNumberFormat="1" applyFont="1" applyFill="1" applyBorder="1" applyAlignment="1">
      <alignment horizontal="center" vertical="center"/>
    </xf>
    <xf numFmtId="2" fontId="4" fillId="35" borderId="116" xfId="0" applyNumberFormat="1" applyFont="1" applyFill="1" applyBorder="1" applyAlignment="1">
      <alignment horizontal="center" vertical="center"/>
    </xf>
    <xf numFmtId="2" fontId="4" fillId="36" borderId="115" xfId="0" applyNumberFormat="1" applyFont="1" applyFill="1" applyBorder="1" applyAlignment="1">
      <alignment horizontal="center" vertical="center"/>
    </xf>
    <xf numFmtId="0" fontId="4" fillId="36" borderId="116" xfId="0" applyFont="1" applyFill="1" applyBorder="1" applyAlignment="1">
      <alignment horizontal="center" vertical="center"/>
    </xf>
    <xf numFmtId="2" fontId="2" fillId="33" borderId="115" xfId="0" applyNumberFormat="1" applyFont="1" applyFill="1" applyBorder="1" applyAlignment="1">
      <alignment horizontal="center" vertical="center"/>
    </xf>
    <xf numFmtId="2" fontId="2" fillId="33" borderId="116" xfId="0" applyNumberFormat="1" applyFont="1" applyFill="1" applyBorder="1" applyAlignment="1">
      <alignment horizontal="center" vertical="center"/>
    </xf>
    <xf numFmtId="2" fontId="2" fillId="3" borderId="115" xfId="0" applyNumberFormat="1" applyFont="1" applyFill="1" applyBorder="1" applyAlignment="1">
      <alignment horizontal="center" vertical="center"/>
    </xf>
    <xf numFmtId="2" fontId="2" fillId="3" borderId="116" xfId="0" applyNumberFormat="1" applyFont="1" applyFill="1" applyBorder="1" applyAlignment="1">
      <alignment horizontal="center" vertical="center"/>
    </xf>
    <xf numFmtId="0" fontId="115" fillId="3" borderId="0" xfId="0" applyFont="1" applyFill="1" applyAlignment="1">
      <alignment horizontal="center" vertical="center"/>
    </xf>
    <xf numFmtId="164" fontId="2" fillId="3" borderId="26" xfId="0" applyNumberFormat="1" applyFont="1" applyFill="1" applyBorder="1" applyAlignment="1">
      <alignment horizontal="center" vertical="center"/>
    </xf>
    <xf numFmtId="0" fontId="86" fillId="3" borderId="19" xfId="0" applyFont="1" applyFill="1" applyBorder="1" applyAlignment="1">
      <alignment horizontal="center"/>
    </xf>
    <xf numFmtId="0" fontId="0" fillId="3" borderId="0" xfId="0" applyFill="1" applyAlignment="1">
      <alignment horizontal="center"/>
    </xf>
    <xf numFmtId="164" fontId="115" fillId="3" borderId="0" xfId="0" applyNumberFormat="1" applyFont="1" applyFill="1" applyAlignment="1">
      <alignment horizontal="center" vertical="center"/>
    </xf>
    <xf numFmtId="0" fontId="0" fillId="3" borderId="19" xfId="0" applyFill="1" applyBorder="1" applyAlignment="1">
      <alignment horizontal="center"/>
    </xf>
    <xf numFmtId="1" fontId="4" fillId="33" borderId="115" xfId="0" applyNumberFormat="1" applyFont="1" applyFill="1" applyBorder="1" applyAlignment="1">
      <alignment horizontal="center" vertical="center"/>
    </xf>
    <xf numFmtId="1" fontId="4" fillId="33" borderId="116" xfId="0" applyNumberFormat="1" applyFont="1" applyFill="1" applyBorder="1" applyAlignment="1">
      <alignment horizontal="center" vertical="center"/>
    </xf>
    <xf numFmtId="0" fontId="115" fillId="3" borderId="26" xfId="0" applyFont="1" applyFill="1" applyBorder="1" applyAlignment="1">
      <alignment horizontal="center" vertical="center"/>
    </xf>
    <xf numFmtId="164" fontId="4" fillId="33" borderId="184" xfId="0" applyNumberFormat="1" applyFont="1" applyFill="1" applyBorder="1" applyAlignment="1">
      <alignment horizontal="center" vertical="center"/>
    </xf>
    <xf numFmtId="164" fontId="4" fillId="33" borderId="185" xfId="0" applyNumberFormat="1" applyFont="1" applyFill="1" applyBorder="1" applyAlignment="1">
      <alignment horizontal="center" vertical="center"/>
    </xf>
    <xf numFmtId="164" fontId="4" fillId="33" borderId="115" xfId="0" applyNumberFormat="1" applyFont="1" applyFill="1" applyBorder="1" applyAlignment="1">
      <alignment horizontal="center" vertical="center"/>
    </xf>
    <xf numFmtId="164" fontId="4" fillId="33" borderId="116" xfId="0" applyNumberFormat="1" applyFont="1" applyFill="1" applyBorder="1" applyAlignment="1">
      <alignment horizontal="center" vertical="center"/>
    </xf>
    <xf numFmtId="0" fontId="2" fillId="3" borderId="0" xfId="0" applyFont="1" applyFill="1" applyAlignment="1">
      <alignment horizontal="center"/>
    </xf>
    <xf numFmtId="0" fontId="4" fillId="4" borderId="0" xfId="0" applyFont="1" applyFill="1" applyAlignment="1">
      <alignment horizontal="left" vertical="center"/>
    </xf>
    <xf numFmtId="0" fontId="4" fillId="3" borderId="0" xfId="0" applyFont="1" applyFill="1" applyAlignment="1">
      <alignment horizontal="left" vertical="center"/>
    </xf>
    <xf numFmtId="0" fontId="4" fillId="48" borderId="90" xfId="0" applyFont="1" applyFill="1" applyBorder="1" applyAlignment="1">
      <alignment horizontal="center" vertical="center" wrapText="1"/>
    </xf>
    <xf numFmtId="0" fontId="4" fillId="48" borderId="91" xfId="0" applyFont="1" applyFill="1" applyBorder="1" applyAlignment="1">
      <alignment horizontal="center" vertical="center" wrapText="1"/>
    </xf>
    <xf numFmtId="164" fontId="2" fillId="48" borderId="104" xfId="0" applyNumberFormat="1" applyFont="1" applyFill="1" applyBorder="1" applyAlignment="1">
      <alignment horizontal="center" vertical="center" wrapText="1"/>
    </xf>
    <xf numFmtId="164" fontId="2" fillId="48" borderId="106" xfId="0" applyNumberFormat="1" applyFont="1" applyFill="1" applyBorder="1" applyAlignment="1">
      <alignment horizontal="center" vertical="center" wrapText="1"/>
    </xf>
    <xf numFmtId="164" fontId="2" fillId="48" borderId="109" xfId="0" applyNumberFormat="1" applyFont="1" applyFill="1" applyBorder="1" applyAlignment="1">
      <alignment horizontal="center" vertical="center" wrapText="1"/>
    </xf>
    <xf numFmtId="164" fontId="2" fillId="48" borderId="111" xfId="0" applyNumberFormat="1" applyFont="1" applyFill="1" applyBorder="1" applyAlignment="1">
      <alignment horizontal="center" vertical="center" wrapText="1"/>
    </xf>
    <xf numFmtId="0" fontId="79" fillId="30" borderId="30" xfId="0" applyFont="1" applyFill="1" applyBorder="1" applyAlignment="1">
      <alignment horizontal="center" vertical="center"/>
    </xf>
    <xf numFmtId="0" fontId="79" fillId="30" borderId="32" xfId="0" applyFont="1" applyFill="1" applyBorder="1" applyAlignment="1">
      <alignment horizontal="center" vertical="center"/>
    </xf>
    <xf numFmtId="0" fontId="79" fillId="30" borderId="31" xfId="0" applyFont="1" applyFill="1" applyBorder="1" applyAlignment="1">
      <alignment horizontal="center" vertical="center"/>
    </xf>
    <xf numFmtId="0" fontId="10" fillId="3" borderId="0" xfId="0" applyFont="1" applyFill="1" applyAlignment="1">
      <alignment horizontal="center"/>
    </xf>
    <xf numFmtId="164" fontId="2" fillId="50" borderId="156" xfId="2" applyNumberFormat="1" applyFont="1" applyFill="1" applyBorder="1" applyAlignment="1" applyProtection="1">
      <alignment horizontal="center" vertical="center" wrapText="1" shrinkToFit="1"/>
      <protection locked="0"/>
    </xf>
    <xf numFmtId="164" fontId="2" fillId="50" borderId="157" xfId="2" applyNumberFormat="1" applyFont="1" applyFill="1" applyBorder="1" applyAlignment="1" applyProtection="1">
      <alignment horizontal="center" vertical="center" wrapText="1" shrinkToFit="1"/>
      <protection locked="0"/>
    </xf>
    <xf numFmtId="164" fontId="2" fillId="50" borderId="158" xfId="2" applyNumberFormat="1" applyFont="1" applyFill="1" applyBorder="1" applyAlignment="1" applyProtection="1">
      <alignment horizontal="center" vertical="center" wrapText="1" shrinkToFit="1"/>
      <protection locked="0"/>
    </xf>
    <xf numFmtId="164" fontId="2" fillId="50" borderId="159" xfId="2" applyNumberFormat="1" applyFont="1" applyFill="1" applyBorder="1" applyAlignment="1" applyProtection="1">
      <alignment horizontal="center" vertical="center" wrapText="1" shrinkToFit="1"/>
      <protection locked="0"/>
    </xf>
    <xf numFmtId="0" fontId="7" fillId="4" borderId="0" xfId="0" applyFont="1" applyFill="1" applyAlignment="1">
      <alignment horizontal="center" vertical="center"/>
    </xf>
    <xf numFmtId="0" fontId="13" fillId="3" borderId="118" xfId="0" applyFont="1" applyFill="1" applyBorder="1" applyAlignment="1" applyProtection="1">
      <alignment horizontal="center" vertical="center"/>
      <protection locked="0"/>
    </xf>
    <xf numFmtId="0" fontId="13" fillId="3" borderId="119" xfId="0" applyFont="1" applyFill="1" applyBorder="1" applyAlignment="1" applyProtection="1">
      <alignment horizontal="center" vertical="center"/>
      <protection locked="0"/>
    </xf>
    <xf numFmtId="0" fontId="13" fillId="3" borderId="120" xfId="0" applyFont="1" applyFill="1" applyBorder="1" applyAlignment="1" applyProtection="1">
      <alignment horizontal="center" vertical="center"/>
      <protection locked="0"/>
    </xf>
    <xf numFmtId="164" fontId="9" fillId="8" borderId="150" xfId="2" applyNumberFormat="1" applyFont="1" applyFill="1" applyBorder="1" applyAlignment="1" applyProtection="1">
      <alignment horizontal="center" vertical="center"/>
      <protection locked="0"/>
    </xf>
    <xf numFmtId="164" fontId="9" fillId="8" borderId="151" xfId="2" applyNumberFormat="1" applyFont="1" applyFill="1" applyBorder="1" applyAlignment="1" applyProtection="1">
      <alignment horizontal="center" vertical="center"/>
      <protection locked="0"/>
    </xf>
    <xf numFmtId="164" fontId="9" fillId="8" borderId="152" xfId="2" applyNumberFormat="1" applyFont="1" applyFill="1" applyBorder="1" applyAlignment="1" applyProtection="1">
      <alignment horizontal="center" vertical="center"/>
      <protection locked="0"/>
    </xf>
    <xf numFmtId="0" fontId="121" fillId="3" borderId="121" xfId="0" applyFont="1" applyFill="1" applyBorder="1" applyAlignment="1">
      <alignment horizontal="center" vertical="center"/>
    </xf>
    <xf numFmtId="0" fontId="43" fillId="37" borderId="122" xfId="0" applyFont="1" applyFill="1" applyBorder="1" applyAlignment="1" applyProtection="1">
      <alignment horizontal="center" vertical="center" wrapText="1"/>
      <protection locked="0"/>
    </xf>
    <xf numFmtId="0" fontId="43" fillId="37" borderId="126" xfId="0" applyFont="1" applyFill="1" applyBorder="1" applyAlignment="1">
      <alignment horizontal="center" vertical="center" wrapText="1"/>
    </xf>
    <xf numFmtId="0" fontId="43" fillId="37" borderId="123" xfId="0" applyFont="1" applyFill="1" applyBorder="1" applyAlignment="1">
      <alignment horizontal="center" vertical="center" wrapText="1"/>
    </xf>
    <xf numFmtId="0" fontId="43" fillId="37" borderId="0" xfId="0" applyFont="1" applyFill="1" applyAlignment="1" applyProtection="1">
      <alignment horizontal="center" vertical="center" wrapText="1"/>
      <protection locked="0"/>
    </xf>
    <xf numFmtId="0" fontId="43" fillId="37" borderId="121" xfId="0" applyFont="1" applyFill="1" applyBorder="1" applyAlignment="1" applyProtection="1">
      <alignment horizontal="center" vertical="center" wrapText="1"/>
      <protection locked="0"/>
    </xf>
    <xf numFmtId="0" fontId="62" fillId="34" borderId="10" xfId="0" applyFont="1" applyFill="1" applyBorder="1" applyAlignment="1">
      <alignment horizontal="left" vertical="center"/>
    </xf>
    <xf numFmtId="0" fontId="62" fillId="34" borderId="11" xfId="0" applyFont="1" applyFill="1" applyBorder="1" applyAlignment="1">
      <alignment horizontal="left" vertical="center"/>
    </xf>
    <xf numFmtId="0" fontId="43" fillId="37" borderId="115" xfId="0" applyFont="1" applyFill="1" applyBorder="1" applyAlignment="1">
      <alignment horizontal="center" vertical="center" wrapText="1"/>
    </xf>
    <xf numFmtId="0" fontId="43" fillId="37" borderId="116" xfId="0" applyFont="1" applyFill="1" applyBorder="1" applyAlignment="1">
      <alignment horizontal="center" vertical="center" wrapText="1"/>
    </xf>
    <xf numFmtId="0" fontId="62" fillId="34" borderId="118" xfId="0" applyFont="1" applyFill="1" applyBorder="1" applyAlignment="1">
      <alignment horizontal="center" vertical="center"/>
    </xf>
    <xf numFmtId="0" fontId="62" fillId="34" borderId="119" xfId="0" applyFont="1" applyFill="1" applyBorder="1" applyAlignment="1">
      <alignment horizontal="center" vertical="center"/>
    </xf>
    <xf numFmtId="0" fontId="48" fillId="4" borderId="0" xfId="0" applyFont="1" applyFill="1" applyAlignment="1">
      <alignment horizontal="center" vertical="center" wrapText="1"/>
    </xf>
    <xf numFmtId="0" fontId="7" fillId="39" borderId="23" xfId="0" applyFont="1" applyFill="1" applyBorder="1" applyAlignment="1">
      <alignment horizontal="center" vertical="center"/>
    </xf>
    <xf numFmtId="0" fontId="7" fillId="39" borderId="27" xfId="0" applyFont="1" applyFill="1" applyBorder="1" applyAlignment="1">
      <alignment horizontal="center" vertical="center"/>
    </xf>
    <xf numFmtId="170" fontId="4" fillId="3" borderId="119" xfId="2" applyNumberFormat="1" applyFont="1" applyFill="1" applyBorder="1" applyAlignment="1" applyProtection="1">
      <alignment horizontal="center" vertical="center"/>
    </xf>
    <xf numFmtId="170" fontId="4" fillId="3" borderId="120" xfId="2" applyNumberFormat="1" applyFont="1" applyFill="1" applyBorder="1" applyAlignment="1" applyProtection="1">
      <alignment horizontal="center" vertical="center"/>
    </xf>
    <xf numFmtId="0" fontId="13" fillId="3" borderId="183" xfId="0" applyFont="1" applyFill="1" applyBorder="1" applyAlignment="1" applyProtection="1">
      <alignment horizontal="center" vertical="center"/>
      <protection locked="0"/>
    </xf>
    <xf numFmtId="0" fontId="13" fillId="3" borderId="122" xfId="0" applyFont="1" applyFill="1" applyBorder="1" applyAlignment="1" applyProtection="1">
      <alignment horizontal="center" vertical="center"/>
      <protection locked="0"/>
    </xf>
    <xf numFmtId="171" fontId="4" fillId="3" borderId="125" xfId="2" applyNumberFormat="1" applyFont="1" applyFill="1" applyBorder="1" applyAlignment="1" applyProtection="1">
      <alignment horizontal="center" vertical="center"/>
    </xf>
    <xf numFmtId="44" fontId="109" fillId="4" borderId="125" xfId="2" applyFont="1" applyFill="1" applyBorder="1" applyAlignment="1" applyProtection="1">
      <alignment horizontal="center" vertical="center"/>
    </xf>
    <xf numFmtId="171" fontId="4" fillId="3" borderId="131" xfId="2" applyNumberFormat="1" applyFont="1" applyFill="1" applyBorder="1" applyAlignment="1" applyProtection="1">
      <alignment horizontal="center" vertical="center"/>
    </xf>
    <xf numFmtId="1" fontId="53" fillId="3" borderId="26" xfId="0" applyNumberFormat="1" applyFont="1" applyFill="1" applyBorder="1" applyAlignment="1">
      <alignment horizontal="center" vertical="center"/>
    </xf>
    <xf numFmtId="1" fontId="135" fillId="3" borderId="0" xfId="0" applyNumberFormat="1" applyFont="1" applyFill="1" applyAlignment="1">
      <alignment horizontal="center" vertical="center"/>
    </xf>
    <xf numFmtId="1" fontId="2" fillId="33" borderId="115" xfId="0" applyNumberFormat="1" applyFont="1" applyFill="1" applyBorder="1" applyAlignment="1">
      <alignment horizontal="center" vertical="center"/>
    </xf>
    <xf numFmtId="1" fontId="2" fillId="33" borderId="116" xfId="0" applyNumberFormat="1" applyFont="1" applyFill="1" applyBorder="1" applyAlignment="1">
      <alignment horizontal="center" vertical="center"/>
    </xf>
    <xf numFmtId="0" fontId="4" fillId="3" borderId="124" xfId="0" applyFont="1" applyFill="1" applyBorder="1" applyAlignment="1">
      <alignment horizontal="center"/>
    </xf>
    <xf numFmtId="0" fontId="4" fillId="3" borderId="125" xfId="0" applyFont="1" applyFill="1" applyBorder="1" applyAlignment="1">
      <alignment horizontal="center"/>
    </xf>
    <xf numFmtId="0" fontId="2" fillId="3" borderId="0" xfId="0" quotePrefix="1" applyFont="1" applyFill="1" applyAlignment="1">
      <alignment horizontal="right" vertical="center"/>
    </xf>
    <xf numFmtId="0" fontId="99" fillId="3" borderId="182" xfId="0" applyFont="1" applyFill="1" applyBorder="1" applyAlignment="1">
      <alignment horizontal="center" vertical="center" wrapText="1"/>
    </xf>
    <xf numFmtId="0" fontId="115" fillId="3" borderId="0" xfId="0" applyFont="1" applyFill="1" applyAlignment="1">
      <alignment horizontal="left"/>
    </xf>
    <xf numFmtId="0" fontId="13" fillId="3" borderId="0" xfId="0" applyFont="1" applyFill="1" applyAlignment="1">
      <alignment horizontal="center" vertical="center" wrapText="1"/>
    </xf>
    <xf numFmtId="0" fontId="86" fillId="3" borderId="0" xfId="0" applyFont="1" applyFill="1" applyAlignment="1">
      <alignment horizontal="center"/>
    </xf>
    <xf numFmtId="164" fontId="2" fillId="3" borderId="115" xfId="1" applyNumberFormat="1" applyFont="1" applyFill="1" applyBorder="1" applyAlignment="1" applyProtection="1">
      <alignment horizontal="center" vertical="center"/>
    </xf>
    <xf numFmtId="164" fontId="2" fillId="3" borderId="116" xfId="1" applyNumberFormat="1" applyFont="1" applyFill="1" applyBorder="1" applyAlignment="1" applyProtection="1">
      <alignment horizontal="center" vertical="center"/>
    </xf>
    <xf numFmtId="0" fontId="2" fillId="0" borderId="0" xfId="0" applyFont="1" applyAlignment="1">
      <alignment horizontal="center" vertical="center"/>
    </xf>
    <xf numFmtId="0" fontId="2" fillId="0" borderId="28" xfId="0" applyFont="1" applyBorder="1" applyAlignment="1">
      <alignment horizontal="center" vertical="center"/>
    </xf>
    <xf numFmtId="14" fontId="9" fillId="30" borderId="30" xfId="2" applyNumberFormat="1" applyFont="1" applyFill="1" applyBorder="1" applyAlignment="1" applyProtection="1">
      <alignment horizontal="center" vertical="center"/>
      <protection locked="0"/>
    </xf>
    <xf numFmtId="14" fontId="9" fillId="30" borderId="32" xfId="2" applyNumberFormat="1" applyFont="1" applyFill="1" applyBorder="1" applyAlignment="1" applyProtection="1">
      <alignment horizontal="center" vertical="center"/>
      <protection locked="0"/>
    </xf>
    <xf numFmtId="14" fontId="9" fillId="30" borderId="31" xfId="2" applyNumberFormat="1" applyFont="1" applyFill="1" applyBorder="1" applyAlignment="1" applyProtection="1">
      <alignment horizontal="center" vertical="center"/>
      <protection locked="0"/>
    </xf>
    <xf numFmtId="0" fontId="99" fillId="3" borderId="182" xfId="0" applyFont="1" applyFill="1" applyBorder="1" applyAlignment="1" applyProtection="1">
      <alignment horizontal="center" vertical="center" wrapText="1"/>
      <protection locked="0"/>
    </xf>
    <xf numFmtId="0" fontId="62" fillId="34" borderId="118" xfId="0" applyFont="1" applyFill="1" applyBorder="1" applyAlignment="1">
      <alignment horizontal="left" vertical="center"/>
    </xf>
    <xf numFmtId="0" fontId="62" fillId="34" borderId="119" xfId="0" applyFont="1" applyFill="1" applyBorder="1" applyAlignment="1">
      <alignment horizontal="left" vertical="center"/>
    </xf>
    <xf numFmtId="0" fontId="141" fillId="0" borderId="94" xfId="0" quotePrefix="1" applyFont="1" applyBorder="1" applyAlignment="1">
      <alignment horizontal="center" vertical="center"/>
    </xf>
    <xf numFmtId="0" fontId="141" fillId="0" borderId="0" xfId="0" quotePrefix="1" applyFont="1" applyAlignment="1">
      <alignment horizontal="center" vertical="center"/>
    </xf>
    <xf numFmtId="0" fontId="62" fillId="34" borderId="23" xfId="0" applyFont="1" applyFill="1" applyBorder="1" applyAlignment="1">
      <alignment horizontal="left" vertical="center"/>
    </xf>
    <xf numFmtId="0" fontId="62" fillId="34" borderId="24" xfId="0" applyFont="1" applyFill="1" applyBorder="1" applyAlignment="1">
      <alignment horizontal="left" vertical="center"/>
    </xf>
    <xf numFmtId="164" fontId="4" fillId="3" borderId="128" xfId="2" applyNumberFormat="1" applyFont="1" applyFill="1" applyBorder="1" applyAlignment="1" applyProtection="1">
      <alignment horizontal="center" vertical="center"/>
      <protection locked="0"/>
    </xf>
    <xf numFmtId="164" fontId="4" fillId="3" borderId="129" xfId="2" applyNumberFormat="1" applyFont="1" applyFill="1" applyBorder="1" applyAlignment="1" applyProtection="1">
      <alignment horizontal="center" vertical="center"/>
      <protection locked="0"/>
    </xf>
    <xf numFmtId="14" fontId="9" fillId="30" borderId="138" xfId="2" applyNumberFormat="1" applyFont="1" applyFill="1" applyBorder="1" applyAlignment="1" applyProtection="1">
      <alignment horizontal="center" vertical="center"/>
      <protection locked="0"/>
    </xf>
    <xf numFmtId="14" fontId="9" fillId="30" borderId="140" xfId="2" applyNumberFormat="1" applyFont="1" applyFill="1" applyBorder="1" applyAlignment="1" applyProtection="1">
      <alignment horizontal="center" vertical="center"/>
      <protection locked="0"/>
    </xf>
    <xf numFmtId="14" fontId="9" fillId="30" borderId="139" xfId="2" applyNumberFormat="1" applyFont="1" applyFill="1" applyBorder="1" applyAlignment="1" applyProtection="1">
      <alignment horizontal="center" vertical="center"/>
      <protection locked="0"/>
    </xf>
    <xf numFmtId="0" fontId="4" fillId="4" borderId="0" xfId="0" applyFont="1" applyFill="1" applyAlignment="1">
      <alignment horizontal="right" vertical="center"/>
    </xf>
    <xf numFmtId="0" fontId="79" fillId="3" borderId="30" xfId="0" applyFont="1" applyFill="1" applyBorder="1" applyAlignment="1">
      <alignment horizontal="center" vertical="center"/>
    </xf>
    <xf numFmtId="0" fontId="79" fillId="3" borderId="32" xfId="0" applyFont="1" applyFill="1" applyBorder="1" applyAlignment="1">
      <alignment horizontal="center" vertical="center"/>
    </xf>
    <xf numFmtId="0" fontId="79" fillId="3" borderId="31" xfId="0" applyFont="1" applyFill="1" applyBorder="1" applyAlignment="1">
      <alignment horizontal="center" vertical="center"/>
    </xf>
    <xf numFmtId="1" fontId="9" fillId="8" borderId="150" xfId="2" applyNumberFormat="1" applyFont="1" applyFill="1" applyBorder="1" applyAlignment="1" applyProtection="1">
      <alignment horizontal="center" vertical="center"/>
      <protection locked="0"/>
    </xf>
    <xf numFmtId="1" fontId="9" fillId="8" borderId="151" xfId="2" applyNumberFormat="1" applyFont="1" applyFill="1" applyBorder="1" applyAlignment="1" applyProtection="1">
      <alignment horizontal="center" vertical="center"/>
      <protection locked="0"/>
    </xf>
    <xf numFmtId="1" fontId="9" fillId="8" borderId="152" xfId="2" applyNumberFormat="1" applyFont="1" applyFill="1" applyBorder="1" applyAlignment="1" applyProtection="1">
      <alignment horizontal="center" vertical="center"/>
      <protection locked="0"/>
    </xf>
    <xf numFmtId="14" fontId="4" fillId="48" borderId="145" xfId="0" applyNumberFormat="1" applyFont="1" applyFill="1" applyBorder="1" applyAlignment="1">
      <alignment horizontal="center" vertical="center"/>
    </xf>
    <xf numFmtId="14" fontId="4" fillId="48" borderId="146" xfId="0" applyNumberFormat="1" applyFont="1" applyFill="1" applyBorder="1" applyAlignment="1">
      <alignment horizontal="center" vertical="center"/>
    </xf>
    <xf numFmtId="2" fontId="109" fillId="3" borderId="126" xfId="2" applyNumberFormat="1" applyFont="1" applyFill="1" applyBorder="1" applyAlignment="1" applyProtection="1">
      <alignment horizontal="center" vertical="center"/>
      <protection locked="0"/>
    </xf>
    <xf numFmtId="2" fontId="109" fillId="3" borderId="123" xfId="2" applyNumberFormat="1" applyFont="1" applyFill="1" applyBorder="1" applyAlignment="1" applyProtection="1">
      <alignment horizontal="center" vertical="center"/>
      <protection locked="0"/>
    </xf>
    <xf numFmtId="164" fontId="4" fillId="33" borderId="203" xfId="0" applyNumberFormat="1" applyFont="1" applyFill="1" applyBorder="1" applyAlignment="1">
      <alignment horizontal="center" vertical="center"/>
    </xf>
    <xf numFmtId="164" fontId="4" fillId="33" borderId="204" xfId="0" applyNumberFormat="1" applyFont="1" applyFill="1" applyBorder="1" applyAlignment="1">
      <alignment horizontal="center" vertical="center"/>
    </xf>
    <xf numFmtId="164" fontId="135" fillId="3" borderId="202" xfId="0" applyNumberFormat="1" applyFont="1" applyFill="1" applyBorder="1" applyAlignment="1">
      <alignment horizontal="center" vertical="center"/>
    </xf>
    <xf numFmtId="164" fontId="4" fillId="33" borderId="10" xfId="0" applyNumberFormat="1" applyFont="1" applyFill="1" applyBorder="1" applyAlignment="1">
      <alignment horizontal="center" vertical="center"/>
    </xf>
    <xf numFmtId="164" fontId="4" fillId="33" borderId="15" xfId="0" applyNumberFormat="1" applyFont="1" applyFill="1" applyBorder="1" applyAlignment="1">
      <alignment horizontal="center" vertical="center"/>
    </xf>
    <xf numFmtId="164" fontId="53" fillId="3" borderId="0" xfId="0" applyNumberFormat="1" applyFont="1" applyFill="1" applyAlignment="1">
      <alignment horizontal="center" vertical="center"/>
    </xf>
    <xf numFmtId="0" fontId="22"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90" fillId="32" borderId="0" xfId="0" applyFont="1" applyFill="1" applyAlignment="1">
      <alignment horizontal="center" vertical="center"/>
    </xf>
    <xf numFmtId="0" fontId="90" fillId="32" borderId="122" xfId="0" applyFont="1" applyFill="1" applyBorder="1" applyAlignment="1">
      <alignment horizontal="center" vertical="center"/>
    </xf>
    <xf numFmtId="0" fontId="43" fillId="41" borderId="0" xfId="0" applyFont="1" applyFill="1" applyAlignment="1">
      <alignment horizontal="center" vertical="center" wrapText="1"/>
    </xf>
    <xf numFmtId="0" fontId="0" fillId="3" borderId="26" xfId="0" applyFill="1" applyBorder="1" applyAlignment="1">
      <alignment horizontal="center"/>
    </xf>
    <xf numFmtId="0" fontId="0" fillId="0" borderId="19" xfId="0" applyBorder="1" applyAlignment="1">
      <alignment horizontal="center"/>
    </xf>
    <xf numFmtId="0" fontId="86" fillId="3" borderId="134" xfId="0" applyFont="1" applyFill="1" applyBorder="1" applyAlignment="1">
      <alignment horizontal="center"/>
    </xf>
    <xf numFmtId="0" fontId="86" fillId="3" borderId="26" xfId="0" applyFont="1" applyFill="1" applyBorder="1" applyAlignment="1">
      <alignment horizontal="center"/>
    </xf>
    <xf numFmtId="1" fontId="4" fillId="3" borderId="80" xfId="0" applyNumberFormat="1" applyFont="1" applyFill="1" applyBorder="1" applyAlignment="1">
      <alignment horizontal="center" vertical="center"/>
    </xf>
    <xf numFmtId="1" fontId="4" fillId="3" borderId="81" xfId="0" applyNumberFormat="1" applyFont="1" applyFill="1" applyBorder="1" applyAlignment="1">
      <alignment horizontal="center" vertical="center"/>
    </xf>
    <xf numFmtId="1" fontId="4" fillId="3" borderId="82" xfId="0" applyNumberFormat="1" applyFont="1" applyFill="1" applyBorder="1" applyAlignment="1">
      <alignment horizontal="center" vertical="center"/>
    </xf>
    <xf numFmtId="164" fontId="4" fillId="3" borderId="80" xfId="0" applyNumberFormat="1" applyFont="1" applyFill="1" applyBorder="1" applyAlignment="1">
      <alignment horizontal="center" vertical="center"/>
    </xf>
    <xf numFmtId="164" fontId="4" fillId="3" borderId="81" xfId="0" applyNumberFormat="1" applyFont="1" applyFill="1" applyBorder="1" applyAlignment="1">
      <alignment horizontal="center" vertical="center"/>
    </xf>
    <xf numFmtId="164" fontId="4" fillId="3" borderId="82" xfId="0" applyNumberFormat="1" applyFont="1" applyFill="1" applyBorder="1" applyAlignment="1">
      <alignment horizontal="center" vertical="center"/>
    </xf>
    <xf numFmtId="0" fontId="62" fillId="22" borderId="66" xfId="0" applyFont="1" applyFill="1" applyBorder="1" applyAlignment="1">
      <alignment horizontal="center" vertical="center"/>
    </xf>
    <xf numFmtId="0" fontId="62" fillId="22" borderId="67" xfId="0" applyFont="1" applyFill="1" applyBorder="1" applyAlignment="1">
      <alignment horizontal="center" vertical="center"/>
    </xf>
    <xf numFmtId="0" fontId="62" fillId="22" borderId="0" xfId="0" applyFont="1" applyFill="1" applyAlignment="1">
      <alignment horizontal="center" vertical="center"/>
    </xf>
    <xf numFmtId="0" fontId="62" fillId="22" borderId="86" xfId="0" applyFont="1" applyFill="1" applyBorder="1" applyAlignment="1">
      <alignment horizontal="left" vertical="center"/>
    </xf>
    <xf numFmtId="0" fontId="62" fillId="22" borderId="94" xfId="0" applyFont="1" applyFill="1" applyBorder="1" applyAlignment="1">
      <alignment horizontal="left" vertical="center"/>
    </xf>
    <xf numFmtId="0" fontId="2" fillId="3" borderId="30" xfId="0" applyFont="1" applyFill="1" applyBorder="1" applyAlignment="1">
      <alignment horizontal="left" vertical="center"/>
    </xf>
    <xf numFmtId="0" fontId="2" fillId="3" borderId="32" xfId="0" applyFont="1" applyFill="1" applyBorder="1" applyAlignment="1">
      <alignment horizontal="left" vertical="center"/>
    </xf>
    <xf numFmtId="0" fontId="2" fillId="3" borderId="31" xfId="0" applyFont="1" applyFill="1" applyBorder="1" applyAlignment="1">
      <alignment horizontal="left" vertical="center"/>
    </xf>
    <xf numFmtId="0" fontId="82" fillId="22" borderId="0" xfId="0" applyFont="1" applyFill="1" applyAlignment="1">
      <alignment horizontal="center" vertical="center"/>
    </xf>
    <xf numFmtId="0" fontId="83" fillId="22" borderId="27" xfId="0" applyFont="1" applyFill="1" applyBorder="1" applyAlignment="1">
      <alignment horizontal="center" vertical="center"/>
    </xf>
    <xf numFmtId="0" fontId="83" fillId="22" borderId="28" xfId="0" applyFont="1" applyFill="1" applyBorder="1" applyAlignment="1">
      <alignment horizontal="center" vertical="center"/>
    </xf>
    <xf numFmtId="0" fontId="83" fillId="22" borderId="64" xfId="0" applyFont="1" applyFill="1" applyBorder="1" applyAlignment="1">
      <alignment horizontal="center" vertical="center"/>
    </xf>
    <xf numFmtId="14" fontId="9" fillId="11" borderId="92" xfId="2" applyNumberFormat="1" applyFont="1" applyFill="1" applyBorder="1" applyAlignment="1" applyProtection="1">
      <alignment horizontal="center" vertical="center"/>
      <protection locked="0"/>
    </xf>
    <xf numFmtId="14" fontId="9" fillId="11" borderId="93" xfId="2" applyNumberFormat="1" applyFont="1" applyFill="1" applyBorder="1" applyAlignment="1" applyProtection="1">
      <alignment horizontal="center" vertical="center"/>
      <protection locked="0"/>
    </xf>
    <xf numFmtId="0" fontId="9" fillId="14" borderId="0" xfId="0" applyFont="1" applyFill="1" applyAlignment="1">
      <alignment horizontal="center" vertical="center"/>
    </xf>
    <xf numFmtId="0" fontId="7" fillId="3" borderId="30" xfId="0" applyFont="1" applyFill="1" applyBorder="1" applyAlignment="1">
      <alignment horizontal="left" vertical="center"/>
    </xf>
    <xf numFmtId="0" fontId="7" fillId="3" borderId="32" xfId="0" applyFont="1" applyFill="1" applyBorder="1" applyAlignment="1">
      <alignment horizontal="left" vertical="center"/>
    </xf>
    <xf numFmtId="0" fontId="7" fillId="3" borderId="31" xfId="0" applyFont="1" applyFill="1" applyBorder="1" applyAlignment="1">
      <alignment horizontal="left" vertical="center"/>
    </xf>
    <xf numFmtId="164" fontId="20" fillId="32" borderId="0" xfId="0" applyNumberFormat="1" applyFont="1" applyFill="1" applyAlignment="1">
      <alignment horizontal="center" vertical="center"/>
    </xf>
    <xf numFmtId="0" fontId="2" fillId="18" borderId="0" xfId="0" applyFont="1" applyFill="1" applyAlignment="1">
      <alignment horizontal="center" vertical="center"/>
    </xf>
    <xf numFmtId="164" fontId="4" fillId="3" borderId="60" xfId="0" applyNumberFormat="1" applyFont="1" applyFill="1" applyBorder="1" applyAlignment="1">
      <alignment horizontal="center" vertical="center"/>
    </xf>
    <xf numFmtId="164" fontId="4" fillId="3" borderId="61" xfId="0" applyNumberFormat="1" applyFont="1" applyFill="1" applyBorder="1" applyAlignment="1">
      <alignment horizontal="center" vertical="center"/>
    </xf>
    <xf numFmtId="164" fontId="20" fillId="22" borderId="0" xfId="0" applyNumberFormat="1" applyFont="1" applyFill="1" applyAlignment="1">
      <alignment horizontal="center" vertical="center"/>
    </xf>
    <xf numFmtId="164" fontId="9" fillId="21" borderId="92" xfId="2" applyNumberFormat="1" applyFont="1" applyFill="1" applyBorder="1" applyAlignment="1" applyProtection="1">
      <alignment horizontal="center" vertical="center"/>
      <protection locked="0"/>
    </xf>
    <xf numFmtId="164" fontId="9" fillId="21" borderId="93" xfId="2" applyNumberFormat="1" applyFont="1" applyFill="1" applyBorder="1" applyAlignment="1" applyProtection="1">
      <alignment horizontal="center" vertical="center"/>
      <protection locked="0"/>
    </xf>
    <xf numFmtId="0" fontId="9" fillId="3" borderId="98" xfId="0" applyFont="1" applyFill="1" applyBorder="1" applyAlignment="1">
      <alignment horizontal="center" vertical="center"/>
    </xf>
    <xf numFmtId="0" fontId="9" fillId="3" borderId="90" xfId="0" applyFont="1" applyFill="1" applyBorder="1" applyAlignment="1">
      <alignment horizontal="center" vertical="center"/>
    </xf>
    <xf numFmtId="0" fontId="9" fillId="3" borderId="91" xfId="0" applyFont="1" applyFill="1" applyBorder="1" applyAlignment="1">
      <alignment horizontal="center" vertical="center"/>
    </xf>
    <xf numFmtId="164" fontId="13" fillId="11" borderId="90" xfId="0" applyNumberFormat="1" applyFont="1" applyFill="1" applyBorder="1" applyAlignment="1">
      <alignment horizontal="center" vertical="center"/>
    </xf>
    <xf numFmtId="164" fontId="13" fillId="11" borderId="91" xfId="0" applyNumberFormat="1" applyFont="1" applyFill="1" applyBorder="1" applyAlignment="1">
      <alignment horizontal="center" vertical="center"/>
    </xf>
    <xf numFmtId="164" fontId="13" fillId="21" borderId="86" xfId="2" applyNumberFormat="1" applyFont="1" applyFill="1" applyBorder="1" applyAlignment="1" applyProtection="1">
      <alignment horizontal="center" vertical="center"/>
      <protection locked="0"/>
    </xf>
    <xf numFmtId="164" fontId="13" fillId="21" borderId="87" xfId="2" applyNumberFormat="1" applyFont="1" applyFill="1" applyBorder="1" applyAlignment="1" applyProtection="1">
      <alignment horizontal="center" vertical="center"/>
      <protection locked="0"/>
    </xf>
    <xf numFmtId="164" fontId="13" fillId="21" borderId="88" xfId="2" applyNumberFormat="1" applyFont="1" applyFill="1" applyBorder="1" applyAlignment="1" applyProtection="1">
      <alignment horizontal="center" vertical="center"/>
      <protection locked="0"/>
    </xf>
    <xf numFmtId="164" fontId="13" fillId="21" borderId="89" xfId="2" applyNumberFormat="1" applyFont="1" applyFill="1" applyBorder="1" applyAlignment="1" applyProtection="1">
      <alignment horizontal="center" vertical="center"/>
      <protection locked="0"/>
    </xf>
    <xf numFmtId="1" fontId="9" fillId="3" borderId="98" xfId="2" applyNumberFormat="1" applyFont="1" applyFill="1" applyBorder="1" applyAlignment="1" applyProtection="1">
      <alignment horizontal="center" vertical="center"/>
      <protection locked="0"/>
    </xf>
    <xf numFmtId="1" fontId="9" fillId="11" borderId="90" xfId="2" applyNumberFormat="1" applyFont="1" applyFill="1" applyBorder="1" applyAlignment="1" applyProtection="1">
      <alignment horizontal="center" vertical="center"/>
      <protection locked="0"/>
    </xf>
    <xf numFmtId="1" fontId="9" fillId="11" borderId="91" xfId="2" applyNumberFormat="1" applyFont="1" applyFill="1" applyBorder="1" applyAlignment="1" applyProtection="1">
      <alignment horizontal="center" vertical="center"/>
      <protection locked="0"/>
    </xf>
    <xf numFmtId="0" fontId="13" fillId="3" borderId="0" xfId="0" applyFont="1" applyFill="1" applyAlignment="1">
      <alignment horizontal="right" vertical="center" wrapText="1"/>
    </xf>
    <xf numFmtId="0" fontId="7" fillId="20" borderId="0" xfId="0" applyFont="1" applyFill="1" applyAlignment="1">
      <alignment horizontal="center" vertical="center"/>
    </xf>
    <xf numFmtId="0" fontId="2" fillId="14" borderId="104" xfId="0" applyFont="1" applyFill="1" applyBorder="1" applyAlignment="1">
      <alignment horizontal="center" vertical="center"/>
    </xf>
    <xf numFmtId="0" fontId="2" fillId="14" borderId="106" xfId="0" applyFont="1" applyFill="1" applyBorder="1" applyAlignment="1">
      <alignment horizontal="center" vertical="center"/>
    </xf>
    <xf numFmtId="0" fontId="63" fillId="20" borderId="104" xfId="0" applyFont="1" applyFill="1" applyBorder="1" applyAlignment="1">
      <alignment horizontal="center" vertical="center"/>
    </xf>
    <xf numFmtId="0" fontId="63" fillId="20" borderId="106" xfId="0" applyFont="1" applyFill="1" applyBorder="1" applyAlignment="1">
      <alignment horizontal="center" vertical="center"/>
    </xf>
    <xf numFmtId="0" fontId="2" fillId="3" borderId="0" xfId="0" applyFont="1" applyFill="1" applyAlignment="1">
      <alignment horizontal="left" vertical="center"/>
    </xf>
    <xf numFmtId="0" fontId="95" fillId="20" borderId="0" xfId="0" applyFont="1" applyFill="1" applyAlignment="1">
      <alignment horizontal="center" vertical="center"/>
    </xf>
    <xf numFmtId="0" fontId="2" fillId="14" borderId="0" xfId="0" applyFont="1" applyFill="1" applyAlignment="1">
      <alignment horizontal="left" vertical="center"/>
    </xf>
    <xf numFmtId="0" fontId="2" fillId="14" borderId="0" xfId="0" applyFont="1" applyFill="1" applyAlignment="1">
      <alignment horizontal="center" vertical="center"/>
    </xf>
    <xf numFmtId="0" fontId="0" fillId="4" borderId="0" xfId="0" applyFill="1" applyAlignment="1">
      <alignment horizontal="left" vertical="center"/>
    </xf>
    <xf numFmtId="0" fontId="0" fillId="3" borderId="0" xfId="0" applyFill="1" applyAlignment="1">
      <alignment horizontal="left" vertical="center"/>
    </xf>
    <xf numFmtId="0" fontId="0" fillId="3" borderId="41" xfId="0" applyFill="1" applyBorder="1" applyAlignment="1" applyProtection="1">
      <alignment horizontal="center" vertical="center"/>
      <protection locked="0"/>
    </xf>
    <xf numFmtId="0" fontId="0" fillId="3" borderId="42" xfId="0" applyFill="1" applyBorder="1" applyAlignment="1" applyProtection="1">
      <alignment horizontal="center" vertical="center"/>
      <protection locked="0"/>
    </xf>
    <xf numFmtId="164" fontId="0" fillId="3" borderId="21" xfId="2" applyNumberFormat="1" applyFont="1" applyFill="1" applyBorder="1" applyAlignment="1" applyProtection="1">
      <alignment horizontal="center" vertical="center"/>
      <protection locked="0"/>
    </xf>
    <xf numFmtId="164" fontId="0" fillId="3" borderId="22" xfId="2" applyNumberFormat="1" applyFont="1" applyFill="1" applyBorder="1" applyAlignment="1" applyProtection="1">
      <alignment horizontal="center" vertical="center"/>
      <protection locked="0"/>
    </xf>
    <xf numFmtId="0" fontId="0" fillId="3" borderId="44"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4" fillId="18" borderId="0" xfId="0" applyFont="1" applyFill="1" applyAlignment="1">
      <alignment horizontal="center" vertical="center"/>
    </xf>
    <xf numFmtId="0" fontId="53" fillId="18" borderId="0" xfId="0" applyFont="1" applyFill="1" applyAlignment="1">
      <alignment horizontal="center" vertical="center"/>
    </xf>
    <xf numFmtId="0" fontId="20" fillId="18" borderId="0" xfId="0" applyFont="1" applyFill="1" applyAlignment="1">
      <alignment horizontal="center" vertical="center"/>
    </xf>
    <xf numFmtId="0" fontId="8" fillId="23" borderId="0" xfId="0" applyFont="1" applyFill="1" applyAlignment="1">
      <alignment horizontal="left" vertical="center"/>
    </xf>
    <xf numFmtId="0" fontId="0" fillId="4" borderId="41" xfId="0" applyFill="1" applyBorder="1" applyAlignment="1" applyProtection="1">
      <alignment horizontal="center" vertical="center"/>
      <protection locked="0"/>
    </xf>
    <xf numFmtId="0" fontId="0" fillId="4" borderId="42" xfId="0" applyFill="1" applyBorder="1" applyAlignment="1" applyProtection="1">
      <alignment horizontal="center" vertical="center"/>
      <protection locked="0"/>
    </xf>
    <xf numFmtId="0" fontId="63" fillId="20" borderId="24" xfId="0" applyFont="1" applyFill="1" applyBorder="1" applyAlignment="1">
      <alignment horizontal="center" vertical="center"/>
    </xf>
    <xf numFmtId="0" fontId="63" fillId="20" borderId="25" xfId="0" applyFont="1" applyFill="1" applyBorder="1" applyAlignment="1">
      <alignment horizontal="center" vertical="center"/>
    </xf>
    <xf numFmtId="0" fontId="8" fillId="23" borderId="0" xfId="0" applyFont="1" applyFill="1" applyAlignment="1">
      <alignment horizontal="left" vertical="center" wrapText="1"/>
    </xf>
    <xf numFmtId="0" fontId="8" fillId="23" borderId="19" xfId="0" applyFont="1" applyFill="1" applyBorder="1" applyAlignment="1">
      <alignment horizontal="left" vertical="center" wrapText="1"/>
    </xf>
    <xf numFmtId="0" fontId="8" fillId="23" borderId="19" xfId="0" applyFont="1" applyFill="1" applyBorder="1" applyAlignment="1">
      <alignment horizontal="left" vertical="center"/>
    </xf>
    <xf numFmtId="0" fontId="8" fillId="23" borderId="28" xfId="0" applyFont="1" applyFill="1" applyBorder="1" applyAlignment="1">
      <alignment horizontal="left" vertical="center" wrapText="1"/>
    </xf>
    <xf numFmtId="0" fontId="8" fillId="23" borderId="29" xfId="0" applyFont="1" applyFill="1" applyBorder="1" applyAlignment="1">
      <alignment horizontal="left" vertical="center" wrapText="1"/>
    </xf>
    <xf numFmtId="0" fontId="2" fillId="18" borderId="0" xfId="0" applyFont="1" applyFill="1" applyAlignment="1">
      <alignment horizontal="left"/>
    </xf>
    <xf numFmtId="0" fontId="0" fillId="5" borderId="0" xfId="0" quotePrefix="1" applyFill="1" applyAlignment="1">
      <alignment horizontal="center"/>
    </xf>
  </cellXfs>
  <cellStyles count="5">
    <cellStyle name="Comma" xfId="4" builtinId="3"/>
    <cellStyle name="Currency" xfId="2" builtinId="4"/>
    <cellStyle name="Currency 2" xfId="3" xr:uid="{00000000-0005-0000-0000-000002000000}"/>
    <cellStyle name="Normal" xfId="0" builtinId="0"/>
    <cellStyle name="Percent" xfId="1" builtinId="5"/>
  </cellStyles>
  <dxfs count="8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rgb="FFEAEBEA"/>
      </font>
      <fill>
        <patternFill>
          <bgColor rgb="FFEAEBEA"/>
        </patternFill>
      </fill>
      <border>
        <left/>
        <right/>
        <top/>
        <bottom/>
      </border>
    </dxf>
    <dxf>
      <font>
        <b/>
        <i val="0"/>
        <color auto="1"/>
      </font>
      <fill>
        <patternFill>
          <bgColor theme="6"/>
        </patternFill>
      </fill>
    </dxf>
    <dxf>
      <font>
        <b/>
        <i val="0"/>
        <color theme="1" tint="0.499984740745262"/>
      </font>
      <fill>
        <patternFill>
          <bgColor rgb="FFFFFF00"/>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D9EFC9"/>
      </font>
    </dxf>
    <dxf>
      <font>
        <b/>
        <i val="0"/>
        <color auto="1"/>
      </font>
      <fill>
        <patternFill>
          <bgColor theme="6"/>
        </patternFill>
      </fill>
    </dxf>
    <dxf>
      <font>
        <b/>
        <i val="0"/>
        <color theme="1" tint="0.499984740745262"/>
      </font>
      <fill>
        <patternFill>
          <bgColor rgb="FFFFFF00"/>
        </patternFill>
      </fill>
    </dxf>
    <dxf>
      <font>
        <b/>
        <i val="0"/>
        <color auto="1"/>
      </font>
      <fill>
        <patternFill>
          <bgColor theme="6"/>
        </patternFill>
      </fill>
    </dxf>
    <dxf>
      <font>
        <b/>
        <i val="0"/>
        <color theme="1" tint="0.499984740745262"/>
      </font>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color rgb="FFEAEBEA"/>
      </font>
      <fill>
        <patternFill>
          <bgColor rgb="FFEAEBEA"/>
        </patternFill>
      </fill>
      <border>
        <left/>
        <right/>
        <top/>
        <bottom/>
      </border>
    </dxf>
    <dxf>
      <font>
        <color them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EAEBEA"/>
      </font>
      <fill>
        <patternFill>
          <bgColor rgb="FFEAEBEA"/>
        </patternFill>
      </fill>
      <border>
        <left/>
        <right/>
        <top/>
        <bottom/>
      </border>
    </dxf>
    <dxf>
      <font>
        <color them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EAEBEA"/>
      </font>
      <fill>
        <patternFill>
          <bgColor rgb="FFEAEBEA"/>
        </patternFill>
      </fill>
      <border>
        <left/>
        <right/>
        <top/>
        <bottom/>
      </border>
    </dxf>
    <dxf>
      <font>
        <color them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EAEBEA"/>
      </font>
      <fill>
        <patternFill>
          <bgColor rgb="FFEAEBEA"/>
        </patternFill>
      </fill>
      <border>
        <left/>
        <right/>
        <top/>
        <bottom/>
      </border>
    </dxf>
    <dxf>
      <font>
        <color them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EAEBEA"/>
      </font>
      <fill>
        <patternFill>
          <bgColor rgb="FFEAEBEA"/>
        </patternFill>
      </fill>
      <border>
        <left/>
        <right/>
        <top/>
        <bottom/>
      </border>
    </dxf>
    <dxf>
      <font>
        <color them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theme="0" tint="-4.9989318521683403E-2"/>
      </font>
      <fill>
        <patternFill>
          <bgColor theme="0" tint="-4.9989318521683403E-2"/>
        </patternFill>
      </fill>
    </dxf>
    <dxf>
      <font>
        <color theme="0" tint="-4.9989318521683403E-2"/>
      </font>
      <fill>
        <patternFill>
          <bgColor theme="0" tint="-4.9989318521683403E-2"/>
        </patternFill>
      </fill>
      <border>
        <vertical/>
        <horizontal/>
      </border>
    </dxf>
    <dxf>
      <font>
        <b/>
        <i val="0"/>
        <color theme="1" tint="0.499984740745262"/>
      </font>
      <fill>
        <patternFill>
          <bgColor rgb="FFFFFF00"/>
        </patternFill>
      </fill>
    </dxf>
    <dxf>
      <font>
        <color theme="1" tint="0.499984740745262"/>
      </font>
      <fill>
        <patternFill>
          <bgColor rgb="FFFFFFCC"/>
        </patternFill>
      </fill>
    </dxf>
    <dxf>
      <font>
        <b/>
        <i val="0"/>
        <color auto="1"/>
      </font>
      <fill>
        <patternFill>
          <bgColor theme="4" tint="0.59996337778862885"/>
        </patternFill>
      </fill>
    </dxf>
    <dxf>
      <font>
        <color theme="0"/>
      </font>
      <fill>
        <patternFill>
          <bgColor theme="0"/>
        </patternFill>
      </fill>
      <border>
        <vertical/>
        <horizontal/>
      </border>
    </dxf>
    <dxf>
      <font>
        <color rgb="FFEAEBEA"/>
      </font>
      <fill>
        <patternFill>
          <bgColor rgb="FFEAEBEA"/>
        </patternFill>
      </fill>
      <border>
        <left/>
        <right/>
        <top/>
        <bottom/>
      </border>
    </dxf>
    <dxf>
      <font>
        <color theme="0"/>
      </font>
    </dxf>
    <dxf>
      <font>
        <color theme="0"/>
      </font>
    </dxf>
    <dxf>
      <font>
        <color rgb="FFEAEBEA"/>
      </font>
      <fill>
        <patternFill>
          <bgColor rgb="FFEAEBEA"/>
        </patternFill>
      </fill>
      <border>
        <left/>
        <right/>
        <top/>
        <bottom/>
      </border>
    </dxf>
    <dxf>
      <font>
        <color theme="0"/>
      </font>
      <fill>
        <patternFill>
          <bgColor rgb="FFC00000"/>
        </patternFill>
      </fill>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border>
        <vertical/>
        <horizontal/>
      </border>
    </dxf>
    <dxf>
      <font>
        <color rgb="FFEAEBEA"/>
      </font>
      <fill>
        <patternFill>
          <bgColor rgb="FFEAEBEA"/>
        </patternFill>
      </fill>
    </dxf>
    <dxf>
      <font>
        <color rgb="FFEAEBEA"/>
      </font>
      <fill>
        <patternFill>
          <bgColor rgb="FFEAEBEA"/>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b/>
        <i val="0"/>
        <color auto="1"/>
      </font>
      <fill>
        <patternFill>
          <bgColor theme="9" tint="-0.24994659260841701"/>
        </patternFill>
      </fill>
    </dxf>
    <dxf>
      <font>
        <b/>
        <i val="0"/>
        <color theme="1" tint="0.499984740745262"/>
      </font>
      <fill>
        <patternFill>
          <bgColor rgb="FFFFFF00"/>
        </patternFill>
      </fill>
    </dxf>
    <dxf>
      <font>
        <color theme="1" tint="0.499984740745262"/>
      </font>
      <fill>
        <patternFill>
          <bgColor rgb="FFFFFFCC"/>
        </patternFill>
      </fill>
    </dxf>
    <dxf>
      <font>
        <color theme="0"/>
      </font>
      <fill>
        <patternFill>
          <bgColor theme="0"/>
        </patternFill>
      </fill>
      <border>
        <vertical/>
        <horizontal/>
      </border>
    </dxf>
    <dxf>
      <font>
        <color theme="0"/>
      </font>
      <fill>
        <patternFill>
          <bgColor theme="0"/>
        </patternFill>
      </fill>
      <border>
        <vertical/>
        <horizontal/>
      </border>
    </dxf>
    <dxf>
      <font>
        <color theme="1" tint="0.34998626667073579"/>
      </font>
      <fill>
        <patternFill>
          <bgColor theme="1" tint="0.34998626667073579"/>
        </patternFill>
      </fill>
      <border>
        <left/>
        <right/>
        <top/>
        <bottom/>
      </border>
    </dxf>
    <dxf>
      <font>
        <color theme="1" tint="0.34998626667073579"/>
      </font>
      <fill>
        <patternFill>
          <bgColor theme="1" tint="0.34998626667073579"/>
        </patternFill>
      </fill>
      <border>
        <left/>
        <right/>
        <top/>
        <bottom/>
      </border>
    </dxf>
    <dxf>
      <font>
        <color rgb="FFE9E7E0"/>
      </font>
    </dxf>
    <dxf>
      <font>
        <color rgb="FFEAEBEA"/>
      </font>
      <fill>
        <patternFill>
          <bgColor rgb="FFEAEBEA"/>
        </patternFill>
      </fill>
      <border>
        <left/>
        <right/>
        <top/>
        <bottom/>
      </border>
    </dxf>
    <dxf>
      <font>
        <color rgb="FFD9EFC9"/>
      </font>
    </dxf>
    <dxf>
      <font>
        <color rgb="FFEAEBEA"/>
      </font>
      <fill>
        <patternFill>
          <bgColor rgb="FFEAEBEA"/>
        </patternFill>
      </fill>
      <border>
        <left/>
        <right/>
        <top/>
        <bottom/>
      </border>
    </dxf>
    <dxf>
      <font>
        <color theme="0"/>
      </font>
      <fill>
        <patternFill>
          <bgColor rgb="FFC00000"/>
        </patternFill>
      </fill>
      <border>
        <vertical/>
        <horizontal/>
      </border>
    </dxf>
    <dxf>
      <font>
        <color theme="1" tint="0.34998626667073579"/>
      </font>
      <fill>
        <patternFill>
          <bgColor theme="1" tint="0.34998626667073579"/>
        </patternFill>
      </fill>
    </dxf>
    <dxf>
      <font>
        <color rgb="FFEAEBEA"/>
      </font>
      <fill>
        <patternFill>
          <bgColor rgb="FFEAEBEA"/>
        </patternFill>
      </fill>
    </dxf>
    <dxf>
      <font>
        <color theme="0"/>
      </font>
      <fill>
        <patternFill>
          <bgColor rgb="FFC00000"/>
        </patternFill>
      </fill>
      <border>
        <vertical/>
        <horizontal/>
      </border>
    </dxf>
    <dxf>
      <font>
        <color rgb="FFEAEBEA"/>
      </font>
      <fill>
        <patternFill>
          <bgColor rgb="FFEAEBEA"/>
        </patternFill>
      </fill>
    </dxf>
    <dxf>
      <font>
        <color theme="0"/>
      </font>
      <fill>
        <patternFill>
          <bgColor rgb="FFC00000"/>
        </patternFill>
      </fill>
    </dxf>
    <dxf>
      <font>
        <color theme="1" tint="0.34998626667073579"/>
      </font>
      <fill>
        <patternFill>
          <bgColor theme="1" tint="0.34998626667073579"/>
        </patternFill>
      </fill>
    </dxf>
    <dxf>
      <font>
        <color theme="0"/>
      </font>
      <fill>
        <patternFill>
          <bgColor rgb="FFC00000"/>
        </patternFill>
      </fill>
    </dxf>
    <dxf>
      <font>
        <color theme="1" tint="0.34998626667073579"/>
      </font>
      <fill>
        <patternFill>
          <bgColor theme="1" tint="0.34998626667073579"/>
        </patternFill>
      </fill>
    </dxf>
    <dxf>
      <fill>
        <patternFill>
          <bgColor theme="0"/>
        </patternFill>
      </fill>
    </dxf>
    <dxf>
      <font>
        <color rgb="FFEAEBEA"/>
      </font>
      <fill>
        <patternFill>
          <bgColor rgb="FFEAEBEA"/>
        </patternFill>
      </fill>
    </dxf>
    <dxf>
      <font>
        <color theme="0"/>
      </font>
      <fill>
        <patternFill>
          <bgColor rgb="FFC00000"/>
        </patternFill>
      </fill>
    </dxf>
    <dxf>
      <font>
        <color rgb="FFEAEBEA"/>
      </font>
      <fill>
        <patternFill>
          <bgColor rgb="FFEAEBEA"/>
        </patternFill>
      </fill>
    </dxf>
    <dxf>
      <font>
        <color theme="0"/>
      </font>
      <fill>
        <patternFill>
          <bgColor rgb="FFC00000"/>
        </patternFill>
      </fill>
    </dxf>
    <dxf>
      <font>
        <color theme="1" tint="0.34998626667073579"/>
      </font>
      <fill>
        <patternFill>
          <bgColor theme="1" tint="0.34998626667073579"/>
        </patternFill>
      </fill>
    </dxf>
    <dxf>
      <font>
        <color theme="0"/>
      </font>
      <fill>
        <patternFill>
          <bgColor rgb="FFC00000"/>
        </patternFill>
      </fill>
    </dxf>
    <dxf>
      <font>
        <color theme="1" tint="0.34998626667073579"/>
      </font>
      <fill>
        <patternFill>
          <bgColor theme="1" tint="0.34998626667073579"/>
        </patternFill>
      </fill>
    </dxf>
    <dxf>
      <font>
        <color rgb="FFEAEBEA"/>
      </font>
      <fill>
        <patternFill>
          <bgColor rgb="FFEAEBEA"/>
        </patternFill>
      </fill>
      <border>
        <left/>
        <right/>
        <top/>
        <bottom/>
      </border>
    </dxf>
    <dxf>
      <font>
        <color rgb="FFEAEBEA"/>
      </font>
      <fill>
        <patternFill>
          <bgColor rgb="FFEAEBEA"/>
        </patternFill>
      </fill>
      <border>
        <left/>
        <right/>
        <top/>
        <bottom/>
      </border>
    </dxf>
    <dxf>
      <font>
        <color rgb="FFEAEBEA"/>
      </font>
      <fill>
        <patternFill>
          <bgColor rgb="FFEAEBEA"/>
        </patternFill>
      </fill>
      <border>
        <left/>
        <right/>
        <top/>
        <bottom/>
      </border>
    </dxf>
    <dxf>
      <font>
        <color theme="0"/>
      </font>
      <fill>
        <patternFill>
          <bgColor rgb="FFC00000"/>
        </patternFill>
      </fill>
    </dxf>
    <dxf>
      <fill>
        <patternFill>
          <bgColor theme="0"/>
        </patternFill>
      </fill>
    </dxf>
    <dxf>
      <font>
        <color theme="1" tint="0.34998626667073579"/>
      </font>
      <fill>
        <patternFill>
          <bgColor theme="1" tint="0.34998626667073579"/>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dxf>
    <dxf>
      <font>
        <color theme="0"/>
      </font>
      <fill>
        <patternFill>
          <bgColor rgb="FFC00000"/>
        </patternFill>
      </fill>
    </dxf>
    <dxf>
      <fill>
        <patternFill>
          <bgColor theme="0"/>
        </patternFill>
      </fill>
    </dxf>
    <dxf>
      <font>
        <color theme="1" tint="0.34998626667073579"/>
      </font>
      <fill>
        <patternFill>
          <bgColor theme="1" tint="0.34998626667073579"/>
        </patternFill>
      </fill>
      <border>
        <vertical/>
        <horizontal/>
      </border>
    </dxf>
    <dxf>
      <font>
        <color theme="0"/>
      </font>
      <fill>
        <patternFill>
          <bgColor rgb="FFC00000"/>
        </patternFill>
      </fill>
    </dxf>
    <dxf>
      <fill>
        <patternFill>
          <bgColor theme="0"/>
        </patternFill>
      </fill>
    </dxf>
    <dxf>
      <font>
        <color theme="1" tint="0.34998626667073579"/>
      </font>
      <fill>
        <patternFill>
          <bgColor theme="1" tint="0.34998626667073579"/>
        </patternFill>
      </fill>
      <border>
        <vertical/>
        <horizontal/>
      </border>
    </dxf>
    <dxf>
      <font>
        <color theme="0"/>
      </font>
      <fill>
        <patternFill>
          <bgColor rgb="FFC00000"/>
        </patternFill>
      </fill>
    </dxf>
    <dxf>
      <font>
        <color auto="1"/>
      </font>
      <fill>
        <patternFill>
          <bgColor rgb="FFFFC000"/>
        </patternFill>
      </fill>
    </dxf>
    <dxf>
      <fill>
        <patternFill>
          <bgColor theme="0"/>
        </patternFill>
      </fill>
    </dxf>
    <dxf>
      <font>
        <color theme="1" tint="0.34998626667073579"/>
      </font>
      <fill>
        <patternFill>
          <bgColor theme="1" tint="0.34998626667073579"/>
        </patternFill>
      </fill>
      <border>
        <vertical/>
        <horizontal/>
      </border>
    </dxf>
    <dxf>
      <font>
        <color theme="0"/>
      </font>
      <fill>
        <patternFill>
          <bgColor rgb="FFC00000"/>
        </patternFill>
      </fill>
    </dxf>
    <dxf>
      <font>
        <color auto="1"/>
      </font>
      <fill>
        <patternFill>
          <bgColor rgb="FFFFC000"/>
        </patternFill>
      </fill>
    </dxf>
    <dxf>
      <fill>
        <patternFill>
          <bgColor theme="0"/>
        </patternFill>
      </fill>
    </dxf>
    <dxf>
      <font>
        <color theme="1" tint="0.34998626667073579"/>
      </font>
      <fill>
        <patternFill>
          <bgColor theme="1" tint="0.34998626667073579"/>
        </patternFill>
      </fill>
      <border>
        <vertical/>
        <horizontal/>
      </border>
    </dxf>
    <dxf>
      <font>
        <color theme="0"/>
      </font>
      <fill>
        <patternFill>
          <bgColor rgb="FFC00000"/>
        </patternFill>
      </fill>
    </dxf>
    <dxf>
      <font>
        <color auto="1"/>
      </font>
      <fill>
        <patternFill>
          <bgColor rgb="FFFFC000"/>
        </patternFill>
      </fill>
    </dxf>
    <dxf>
      <fill>
        <patternFill>
          <bgColor theme="0"/>
        </patternFill>
      </fill>
    </dxf>
    <dxf>
      <font>
        <color theme="1" tint="0.34998626667073579"/>
      </font>
      <fill>
        <patternFill>
          <bgColor theme="1" tint="0.34998626667073579"/>
        </patternFill>
      </fill>
      <border>
        <vertical/>
        <horizontal/>
      </border>
    </dxf>
    <dxf>
      <font>
        <b/>
        <i val="0"/>
        <color auto="1"/>
      </font>
      <fill>
        <patternFill>
          <bgColor theme="6"/>
        </patternFill>
      </fill>
    </dxf>
    <dxf>
      <font>
        <b/>
        <i val="0"/>
        <color theme="1" tint="0.499984740745262"/>
      </font>
      <fill>
        <patternFill>
          <bgColor rgb="FFFFFF00"/>
        </patternFill>
      </fill>
    </dxf>
    <dxf>
      <font>
        <color theme="1" tint="0.499984740745262"/>
      </font>
      <fill>
        <patternFill>
          <bgColor rgb="FFFFFFCC"/>
        </patternFill>
      </fill>
    </dxf>
    <dxf>
      <font>
        <color rgb="FFEAEBEA"/>
      </font>
      <fill>
        <patternFill>
          <bgColor rgb="FFEAEBEA"/>
        </patternFill>
      </fill>
    </dxf>
    <dxf>
      <font>
        <color rgb="FFEAEBEA"/>
      </font>
      <fill>
        <patternFill>
          <bgColor rgb="FFEAEBEA"/>
        </patternFill>
      </fill>
    </dxf>
    <dxf>
      <font>
        <color theme="0" tint="-4.9989318521683403E-2"/>
      </font>
      <fill>
        <patternFill>
          <bgColor theme="0" tint="-4.9989318521683403E-2"/>
        </patternFill>
      </fill>
    </dxf>
    <dxf>
      <font>
        <color rgb="FFEAEBEA"/>
      </font>
      <fill>
        <patternFill>
          <bgColor rgb="FFEAEBEA"/>
        </patternFill>
      </fill>
    </dxf>
    <dxf>
      <font>
        <color rgb="FFEAEBEA"/>
      </font>
      <fill>
        <patternFill>
          <bgColor rgb="FFEAEBEA"/>
        </patternFill>
      </fill>
    </dxf>
    <dxf>
      <font>
        <color rgb="FFEAEBEA"/>
      </font>
      <fill>
        <patternFill>
          <bgColor rgb="FFEAEBEA"/>
        </patternFill>
      </fill>
    </dxf>
    <dxf>
      <font>
        <color rgb="FFEAEBEA"/>
      </font>
      <fill>
        <patternFill>
          <bgColor rgb="FFEAEBEA"/>
        </patternFill>
      </fill>
    </dxf>
    <dxf>
      <font>
        <color rgb="FFEAEBEA"/>
      </font>
      <fill>
        <patternFill>
          <bgColor rgb="FFEAEBEA"/>
        </patternFill>
      </fill>
    </dxf>
    <dxf>
      <font>
        <color rgb="FFEAEBEA"/>
      </font>
      <fill>
        <patternFill>
          <bgColor rgb="FFEAEBEA"/>
        </patternFill>
      </fill>
    </dxf>
    <dxf>
      <font>
        <color theme="0"/>
      </font>
    </dxf>
    <dxf>
      <font>
        <color theme="0"/>
      </font>
    </dxf>
    <dxf>
      <font>
        <color theme="0"/>
      </font>
    </dxf>
    <dxf>
      <font>
        <color rgb="FFD9EFC9"/>
      </font>
    </dxf>
    <dxf>
      <font>
        <color rgb="FFD9EFC9"/>
      </font>
    </dxf>
    <dxf>
      <font>
        <color rgb="FFD9EFC9"/>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ill>
        <patternFill>
          <bgColor theme="0"/>
        </patternFill>
      </fill>
    </dxf>
    <dxf>
      <font>
        <b/>
        <i val="0"/>
        <color rgb="FFC00000"/>
      </font>
      <fill>
        <patternFill>
          <bgColor rgb="FFFFFF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2F2F2"/>
        </patternFill>
      </fill>
    </dxf>
    <dxf>
      <font>
        <color theme="0"/>
      </font>
    </dxf>
    <dxf>
      <font>
        <color theme="0"/>
      </font>
    </dxf>
    <dxf>
      <font>
        <color rgb="FFD9EFC9"/>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auto="1"/>
      </font>
    </dxf>
    <dxf>
      <font>
        <color theme="0"/>
      </font>
      <fill>
        <patternFill>
          <bgColor rgb="FFC00000"/>
        </patternFill>
      </fill>
    </dxf>
    <dxf>
      <font>
        <color auto="1"/>
      </font>
      <fill>
        <patternFill>
          <bgColor rgb="FFFFC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ont>
        <color auto="1"/>
      </font>
      <fill>
        <patternFill>
          <bgColor rgb="FFFFC000"/>
        </patternFill>
      </fill>
    </dxf>
    <dxf>
      <fill>
        <patternFill>
          <bgColor theme="0"/>
        </patternFill>
      </fill>
    </dxf>
    <dxf>
      <font>
        <color theme="0"/>
      </font>
      <fill>
        <patternFill>
          <bgColor rgb="FFC00000"/>
        </patternFill>
      </fill>
    </dxf>
    <dxf>
      <font>
        <color auto="1"/>
      </font>
      <fill>
        <patternFill>
          <bgColor rgb="FFFFC000"/>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4.9989318521683403E-2"/>
      </font>
      <fill>
        <patternFill>
          <bgColor theme="0" tint="-4.9989318521683403E-2"/>
        </patternFill>
      </fill>
      <border>
        <left/>
        <right/>
        <top/>
        <bottom/>
      </border>
    </dxf>
    <dxf>
      <font>
        <color theme="6" tint="0.59996337778862885"/>
      </font>
    </dxf>
    <dxf>
      <font>
        <color rgb="FFD9EFC9"/>
      </font>
    </dxf>
    <dxf>
      <font>
        <color theme="0" tint="-4.9989318521683403E-2"/>
      </font>
      <fill>
        <patternFill>
          <bgColor theme="0" tint="-4.9989318521683403E-2"/>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theme="4" tint="0.59996337778862885"/>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font>
        <color theme="1"/>
      </font>
      <fill>
        <patternFill>
          <bgColor theme="4" tint="0.59996337778862885"/>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rgb="FFFFC000"/>
        </patternFill>
      </fill>
    </dxf>
    <dxf>
      <font>
        <color theme="0"/>
      </font>
      <fill>
        <patternFill>
          <bgColor rgb="FFC00000"/>
        </patternFill>
      </fill>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theme="0" tint="-0.34998626667073579"/>
        </left>
        <right/>
        <top/>
        <bottom/>
      </border>
    </dxf>
    <dxf>
      <border>
        <left style="thin">
          <color theme="0" tint="-0.34998626667073579"/>
        </left>
        <right/>
        <top/>
        <bottom/>
      </border>
    </dxf>
    <dxf>
      <border>
        <left style="thin">
          <color theme="0" tint="-0.34998626667073579"/>
        </left>
        <right/>
        <top/>
        <bottom/>
      </border>
    </dxf>
    <dxf>
      <font>
        <color theme="0"/>
      </font>
      <fill>
        <patternFill>
          <fgColor theme="0"/>
        </patternFill>
      </fill>
      <border>
        <left/>
        <right/>
        <top style="thin">
          <color auto="1"/>
        </top>
        <bottom/>
        <vertical/>
        <horizontal/>
      </border>
    </dxf>
    <dxf>
      <font>
        <color theme="0"/>
      </font>
      <fill>
        <patternFill>
          <fgColor theme="0"/>
        </patternFill>
      </fill>
    </dxf>
    <dxf>
      <font>
        <color theme="0"/>
      </font>
      <fill>
        <patternFill>
          <fgColor theme="0"/>
        </patternFill>
      </fill>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b/>
        <i val="0"/>
        <color theme="1" tint="0.499984740745262"/>
      </font>
      <fill>
        <patternFill>
          <bgColor rgb="FFFFFF00"/>
        </patternFill>
      </fill>
    </dxf>
    <dxf>
      <font>
        <b/>
        <i val="0"/>
        <color auto="1"/>
      </font>
      <fill>
        <patternFill>
          <bgColor theme="9" tint="-0.24994659260841701"/>
        </patternFill>
      </fill>
    </dxf>
    <dxf>
      <font>
        <color theme="0"/>
      </font>
      <fill>
        <patternFill>
          <bgColor theme="0"/>
        </patternFill>
      </fill>
      <border>
        <vertical/>
        <horizontal/>
      </border>
    </dxf>
    <dxf>
      <font>
        <color theme="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fgColor theme="0"/>
          <bgColor theme="0"/>
        </patternFill>
      </fill>
    </dxf>
    <dxf>
      <font>
        <color theme="0"/>
      </font>
      <fill>
        <patternFill>
          <bgColor rgb="FFC00000"/>
        </patternFill>
      </fill>
      <border>
        <vertical/>
        <horizontal/>
      </border>
    </dxf>
    <dxf>
      <font>
        <color theme="0"/>
      </font>
      <fill>
        <patternFill>
          <bgColor theme="0"/>
        </patternFill>
      </fill>
    </dxf>
    <dxf>
      <font>
        <color theme="0"/>
      </font>
      <fill>
        <patternFill>
          <bgColor theme="0"/>
        </patternFill>
      </fill>
      <border>
        <left/>
        <right/>
        <top/>
        <bottom/>
      </border>
    </dxf>
    <dxf>
      <font>
        <color theme="0"/>
      </font>
      <fill>
        <patternFill>
          <fgColor theme="0"/>
        </patternFill>
      </fill>
    </dxf>
    <dxf>
      <font>
        <color theme="0"/>
      </font>
      <fill>
        <patternFill>
          <bgColor theme="0"/>
        </patternFill>
      </fill>
      <border>
        <left/>
        <right/>
        <top/>
        <bottom/>
      </border>
    </dxf>
    <dxf>
      <font>
        <color theme="0"/>
      </font>
      <fill>
        <patternFill>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right/>
        <top/>
        <bottom/>
      </border>
    </dxf>
    <dxf>
      <fill>
        <patternFill>
          <bgColor theme="0"/>
        </patternFill>
      </fill>
    </dxf>
    <dxf>
      <font>
        <color theme="0"/>
      </font>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1" tint="0.499984740745262"/>
      </font>
      <fill>
        <patternFill>
          <bgColor theme="0"/>
        </patternFill>
      </fill>
    </dxf>
    <dxf>
      <font>
        <color theme="0"/>
      </font>
      <fill>
        <patternFill>
          <bgColor theme="0"/>
        </patternFill>
      </fill>
      <border>
        <vertical/>
        <horizontal/>
      </border>
    </dxf>
    <dxf>
      <font>
        <b/>
        <i val="0"/>
        <color theme="0"/>
      </font>
      <fill>
        <patternFill>
          <bgColor theme="0"/>
        </patternFill>
      </fill>
    </dxf>
    <dxf>
      <font>
        <color theme="0"/>
      </font>
      <fill>
        <patternFill>
          <bgColor theme="0"/>
        </patternFill>
      </fill>
      <border>
        <vertical/>
        <horizontal/>
      </border>
    </dxf>
    <dxf>
      <font>
        <color theme="0" tint="-4.9989318521683403E-2"/>
      </font>
      <fill>
        <patternFill>
          <bgColor theme="0" tint="-4.9989318521683403E-2"/>
        </patternFill>
      </fill>
    </dxf>
    <dxf>
      <font>
        <color theme="0"/>
      </font>
      <fill>
        <patternFill>
          <bgColor theme="0"/>
        </patternFill>
      </fill>
      <border>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fill>
        <patternFill>
          <bgColor rgb="FFFFC00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C00000"/>
      </font>
      <fill>
        <patternFill>
          <bgColor theme="0"/>
        </patternFill>
      </fill>
      <border>
        <left style="thin">
          <color theme="6"/>
        </left>
        <right style="thin">
          <color theme="6"/>
        </right>
        <top style="thin">
          <color theme="6"/>
        </top>
        <bottom style="thin">
          <color theme="6"/>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rgb="FFC00000"/>
        </patternFill>
      </fill>
      <border>
        <vertical/>
        <horizontal/>
      </border>
    </dxf>
    <dxf>
      <font>
        <color theme="0"/>
      </font>
      <fill>
        <patternFill>
          <bgColor theme="0"/>
        </patternFill>
      </fill>
    </dxf>
    <dxf>
      <font>
        <color theme="0"/>
      </font>
      <fill>
        <patternFill>
          <bgColor rgb="FFC00000"/>
        </patternFill>
      </fill>
      <border>
        <vertical/>
        <horizontal/>
      </border>
    </dxf>
    <dxf>
      <font>
        <color theme="0"/>
      </font>
      <fill>
        <patternFill>
          <bgColor theme="0"/>
        </patternFill>
      </fill>
    </dxf>
    <dxf>
      <font>
        <color theme="0"/>
      </font>
      <fill>
        <patternFill>
          <fgColor theme="0"/>
        </patternFill>
      </fill>
    </dxf>
    <dxf>
      <fill>
        <patternFill>
          <bgColor rgb="FFFFFFCC"/>
        </patternFill>
      </fill>
    </dxf>
    <dxf>
      <fill>
        <patternFill>
          <bgColor rgb="FFFFFFCC"/>
        </patternFill>
      </fill>
    </dxf>
    <dxf>
      <fill>
        <patternFill>
          <bgColor rgb="FFFFFFCC"/>
        </patternFill>
      </fill>
    </dxf>
    <dxf>
      <font>
        <color theme="0"/>
      </font>
      <fill>
        <patternFill>
          <fgColor theme="0"/>
          <bgColor theme="0"/>
        </patternFill>
      </fill>
      <border>
        <left/>
        <right/>
        <top/>
        <bottom/>
        <vertical/>
        <horizontal/>
      </border>
    </dxf>
    <dxf>
      <font>
        <color rgb="FFC00000"/>
      </font>
      <fill>
        <patternFill>
          <bgColor theme="0"/>
        </patternFill>
      </fill>
      <border>
        <left style="thin">
          <color theme="6"/>
        </left>
        <right style="thin">
          <color theme="6"/>
        </right>
        <top style="thin">
          <color theme="6"/>
        </top>
        <bottom style="thin">
          <color theme="6"/>
        </bottom>
      </border>
    </dxf>
    <dxf>
      <font>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font>
      <fill>
        <patternFill>
          <bgColor theme="0"/>
        </patternFill>
      </fill>
    </dxf>
    <dxf>
      <font>
        <color theme="0"/>
      </font>
      <fill>
        <patternFill>
          <bgColor rgb="FFC00000"/>
        </patternFill>
      </fill>
    </dxf>
    <dxf>
      <font>
        <color theme="0"/>
      </font>
      <fill>
        <patternFill>
          <bgColor theme="0"/>
        </patternFill>
      </fill>
      <border>
        <left/>
        <right/>
        <top/>
        <bottom/>
        <vertical/>
        <horizontal/>
      </border>
    </dxf>
    <dxf>
      <font>
        <color theme="0"/>
      </font>
      <fill>
        <patternFill>
          <bgColor rgb="FFC00000"/>
        </patternFill>
      </fill>
    </dxf>
    <dxf>
      <font>
        <color theme="0"/>
      </font>
      <fill>
        <patternFill>
          <bgColor theme="0"/>
        </patternFill>
      </fill>
      <border>
        <left/>
        <right/>
        <top/>
        <bottom/>
      </border>
    </dxf>
    <dxf>
      <font>
        <color theme="0"/>
      </font>
      <fill>
        <patternFill>
          <bgColor rgb="FFC00000"/>
        </patternFill>
      </fill>
    </dxf>
    <dxf>
      <font>
        <color theme="0"/>
      </font>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C1"/>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fgColor theme="0"/>
        </patternFill>
      </fill>
    </dxf>
    <dxf>
      <font>
        <color theme="0"/>
      </font>
      <fill>
        <patternFill>
          <fgColor theme="0"/>
        </patternFill>
      </fill>
      <border>
        <left/>
        <right/>
        <top/>
        <bottom/>
      </border>
    </dxf>
    <dxf>
      <font>
        <color theme="0"/>
      </font>
      <fill>
        <patternFill>
          <fgColor theme="0"/>
        </patternFill>
      </fill>
    </dxf>
    <dxf>
      <font>
        <color theme="0"/>
      </font>
      <fill>
        <patternFill>
          <fgColor theme="0"/>
        </patternFill>
      </fill>
    </dxf>
    <dxf>
      <font>
        <color theme="0"/>
      </font>
      <fill>
        <patternFill>
          <bgColor theme="0"/>
        </patternFill>
      </fill>
      <border>
        <left/>
        <right/>
        <top/>
        <bottom/>
        <vertical/>
        <horizontal/>
      </border>
    </dxf>
    <dxf>
      <fill>
        <patternFill>
          <bgColor theme="8" tint="0.79998168889431442"/>
        </patternFill>
      </fill>
    </dxf>
    <dxf>
      <font>
        <color rgb="FFD9EFC9"/>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D9EFC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D9EFC9"/>
      </font>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font>
        <b/>
        <i val="0"/>
        <color auto="1"/>
      </font>
      <fill>
        <patternFill>
          <bgColor theme="8" tint="0.79998168889431442"/>
        </patternFill>
      </fill>
    </dxf>
    <dxf>
      <font>
        <b/>
        <i val="0"/>
        <color theme="1" tint="0.499984740745262"/>
      </font>
      <fill>
        <patternFill>
          <bgColor theme="0"/>
        </patternFill>
      </fill>
    </dxf>
    <dxf>
      <numFmt numFmtId="2" formatCode="0.00"/>
    </dxf>
    <dxf>
      <numFmt numFmtId="2" formatCode="0.00"/>
    </dxf>
    <dxf>
      <numFmt numFmtId="2" formatCode="0.00"/>
    </dxf>
    <dxf>
      <numFmt numFmtId="2" formatCode="0.00"/>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style="thin">
          <color theme="0" tint="-0.34998626667073579"/>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theme="0" tint="-0.34998626667073579"/>
        </left>
        <right/>
        <top/>
        <bottom/>
      </border>
    </dxf>
    <dxf>
      <font>
        <color theme="0"/>
      </font>
      <fill>
        <patternFill>
          <bgColor theme="0" tint="-4.9989318521683403E-2"/>
        </patternFill>
      </fill>
      <border>
        <left/>
        <right style="thin">
          <color theme="0" tint="-0.34998626667073579"/>
        </right>
        <top/>
        <bottom/>
        <vertical/>
        <horizontal/>
      </border>
    </dxf>
    <dxf>
      <font>
        <color theme="1"/>
      </font>
      <fill>
        <patternFill>
          <bgColor theme="0"/>
        </patternFill>
      </fill>
      <border>
        <top style="thin">
          <color theme="0" tint="-0.34998626667073579"/>
        </top>
        <vertical/>
        <horizontal/>
      </border>
    </dxf>
    <dxf>
      <font>
        <b/>
        <i val="0"/>
        <color auto="1"/>
      </font>
      <fill>
        <patternFill>
          <bgColor rgb="FFFFFFC1"/>
        </patternFill>
      </fill>
    </dxf>
    <dxf>
      <font>
        <color theme="0"/>
      </font>
      <fill>
        <patternFill>
          <bgColor theme="0"/>
        </patternFill>
      </fill>
      <border>
        <vertical/>
        <horizontal/>
      </border>
    </dxf>
    <dxf>
      <font>
        <color theme="0"/>
      </font>
      <fill>
        <patternFill>
          <bgColor theme="0"/>
        </patternFill>
      </fill>
    </dxf>
    <dxf>
      <font>
        <b/>
        <i val="0"/>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FFCC"/>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CC"/>
        </patternFill>
      </fill>
    </dxf>
    <dxf>
      <font>
        <color theme="0"/>
      </font>
      <fill>
        <patternFill>
          <bgColor theme="0"/>
        </patternFill>
      </fill>
      <border>
        <vertical/>
        <horizontal/>
      </border>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ont>
        <color theme="0" tint="-4.9989318521683403E-2"/>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font>
      <fill>
        <patternFill>
          <bgColor theme="0"/>
        </patternFill>
      </fill>
      <border>
        <left/>
        <right/>
        <top/>
        <bottom/>
        <vertical/>
        <horizontal/>
      </border>
    </dxf>
    <dxf>
      <font>
        <color rgb="FFC0000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rgb="FFC00000"/>
        </patternFill>
      </fill>
    </dxf>
    <dxf>
      <font>
        <color theme="0"/>
      </font>
      <fill>
        <patternFill>
          <bgColor rgb="FFC00000"/>
        </patternFill>
      </fill>
    </dxf>
    <dxf>
      <font>
        <color theme="0"/>
      </font>
      <fill>
        <patternFill>
          <bgColor rgb="FFC00000"/>
        </patternFill>
      </fill>
      <border>
        <vertical/>
        <horizontal/>
      </border>
    </dxf>
    <dxf>
      <font>
        <color theme="0"/>
      </font>
      <fill>
        <patternFill>
          <bgColor theme="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patternFill>
      </fill>
    </dxf>
    <dxf>
      <fill>
        <patternFill>
          <bgColor theme="0"/>
        </patternFill>
      </fill>
    </dxf>
    <dxf>
      <fill>
        <patternFill>
          <bgColor theme="0"/>
        </patternFill>
      </fill>
    </dxf>
    <dxf>
      <font>
        <color auto="1"/>
      </font>
      <fill>
        <patternFill>
          <bgColor rgb="FFFFC000"/>
        </patternFill>
      </fill>
    </dxf>
    <dxf>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rgb="FFFFD85B"/>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border>
        <left/>
        <right/>
        <top/>
        <bottom/>
        <vertical/>
        <horizontal/>
      </border>
    </dxf>
    <dxf>
      <font>
        <color theme="0"/>
      </font>
      <border>
        <left/>
        <right/>
        <top/>
        <bottom/>
        <vertical/>
        <horizontal/>
      </border>
    </dxf>
    <dxf>
      <font>
        <color theme="0"/>
      </font>
      <fill>
        <patternFill>
          <bgColor theme="0"/>
        </patternFill>
      </fill>
      <border>
        <left/>
        <right/>
        <top/>
        <bottom/>
        <vertical/>
        <horizontal/>
      </border>
    </dxf>
    <dxf>
      <font>
        <color theme="0"/>
      </font>
      <fill>
        <patternFill>
          <bgColor rgb="FFC0000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rgb="FFC00000"/>
        </patternFill>
      </fill>
    </dxf>
    <dxf>
      <font>
        <color auto="1"/>
      </font>
      <fill>
        <patternFill>
          <bgColor rgb="FFFFC000"/>
        </patternFill>
      </fill>
    </dxf>
    <dxf>
      <fill>
        <patternFill>
          <bgColor theme="0"/>
        </patternFill>
      </fill>
    </dxf>
    <dxf>
      <font>
        <color auto="1"/>
      </font>
      <fill>
        <patternFill>
          <bgColor rgb="FFFFC000"/>
        </patternFill>
      </fill>
    </dxf>
    <dxf>
      <font>
        <color theme="0"/>
      </font>
      <fill>
        <patternFill>
          <bgColor rgb="FFC00000"/>
        </patternFill>
      </fill>
    </dxf>
    <dxf>
      <fill>
        <patternFill>
          <bgColor theme="0"/>
        </patternFill>
      </fill>
    </dxf>
    <dxf>
      <font>
        <color auto="1"/>
      </font>
      <fill>
        <patternFill>
          <bgColor rgb="FFFFC000"/>
        </patternFill>
      </fill>
    </dxf>
    <dxf>
      <font>
        <color theme="0"/>
      </font>
      <fill>
        <patternFill>
          <bgColor rgb="FFC00000"/>
        </patternFill>
      </fill>
    </dxf>
    <dxf>
      <fill>
        <patternFill>
          <bgColor theme="0"/>
        </patternFill>
      </fill>
    </dxf>
    <dxf>
      <font>
        <color theme="0"/>
      </font>
      <fill>
        <patternFill>
          <bgColor rgb="FFC00000"/>
        </patternFill>
      </fill>
      <border>
        <vertical/>
        <horizontal/>
      </border>
    </dxf>
    <dxf>
      <font>
        <color theme="0"/>
      </font>
      <fill>
        <patternFill>
          <bgColor rgb="FFC00000"/>
        </patternFill>
      </fill>
    </dxf>
    <dxf>
      <font>
        <color theme="0"/>
      </font>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rgb="FFC00000"/>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rgb="FFC0000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ont>
        <color theme="0"/>
      </font>
      <fill>
        <patternFill>
          <bgColor rgb="FFC00000"/>
        </patternFill>
      </fill>
    </dxf>
    <dxf>
      <fill>
        <patternFill>
          <bgColor theme="0"/>
        </patternFill>
      </fill>
    </dxf>
    <dxf>
      <fill>
        <patternFill>
          <bgColor rgb="FFFFFFCC"/>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rgb="FFD9EFC9"/>
      </font>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rgb="FFD9EFC9"/>
      </font>
    </dxf>
    <dxf>
      <font>
        <color theme="0"/>
      </font>
      <fill>
        <patternFill>
          <bgColor theme="0"/>
        </patternFill>
      </fill>
      <border>
        <vertical/>
        <horizontal/>
      </border>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8" tint="0.79998168889431442"/>
        </patternFill>
      </fill>
    </dxf>
    <dxf>
      <font>
        <b/>
        <i val="0"/>
        <color theme="1" tint="0.499984740745262"/>
      </font>
      <fill>
        <patternFill>
          <bgColor theme="0"/>
        </patternFill>
      </fill>
    </dxf>
    <dxf>
      <font>
        <b/>
        <i val="0"/>
        <color auto="1"/>
      </font>
      <fill>
        <patternFill>
          <bgColor theme="8" tint="0.79998168889431442"/>
        </patternFill>
      </fill>
    </dxf>
    <dxf>
      <font>
        <b/>
        <i val="0"/>
        <color theme="1" tint="0.499984740745262"/>
      </font>
      <fill>
        <patternFill>
          <bgColor theme="0"/>
        </patternFill>
      </fill>
    </dxf>
    <dxf>
      <font>
        <b/>
        <i val="0"/>
        <color auto="1"/>
      </font>
      <fill>
        <patternFill>
          <bgColor theme="4" tint="0.79998168889431442"/>
        </patternFill>
      </fill>
    </dxf>
    <dxf>
      <font>
        <color theme="0"/>
      </font>
    </dxf>
    <dxf>
      <font>
        <color theme="0"/>
      </font>
    </dxf>
    <dxf>
      <font>
        <color theme="0"/>
      </font>
    </dxf>
    <dxf>
      <font>
        <color theme="0"/>
      </font>
    </dxf>
    <dxf>
      <font>
        <color rgb="FFD9EFC9"/>
      </font>
    </dxf>
    <dxf>
      <font>
        <color rgb="FFD9EFC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tint="-4.9989318521683403E-2"/>
      </font>
      <fill>
        <patternFill>
          <bgColor theme="0" tint="-4.9989318521683403E-2"/>
        </patternFill>
      </fill>
      <border>
        <left/>
        <right/>
        <top/>
        <bottom/>
      </border>
    </dxf>
    <dxf>
      <font>
        <color theme="0"/>
      </font>
    </dxf>
    <dxf>
      <font>
        <color theme="6" tint="0.59996337778862885"/>
      </font>
    </dxf>
    <dxf>
      <font>
        <color theme="0" tint="-4.9989318521683403E-2"/>
      </font>
      <fill>
        <patternFill>
          <bgColor theme="0" tint="-4.9989318521683403E-2"/>
        </patternFill>
      </fill>
      <border>
        <left/>
        <right/>
        <top/>
        <bottom/>
      </border>
    </dxf>
    <dxf>
      <font>
        <color theme="0"/>
      </font>
    </dxf>
    <dxf>
      <font>
        <color theme="6" tint="0.59996337778862885"/>
      </font>
    </dxf>
    <dxf>
      <font>
        <color theme="0" tint="-4.9989318521683403E-2"/>
      </font>
      <fill>
        <patternFill>
          <bgColor theme="0" tint="-4.9989318521683403E-2"/>
        </patternFill>
      </fill>
      <border>
        <left/>
        <right/>
        <top/>
        <bottom/>
      </border>
    </dxf>
    <dxf>
      <font>
        <color theme="0"/>
      </font>
    </dxf>
    <dxf>
      <font>
        <color theme="6" tint="0.59996337778862885"/>
      </font>
    </dxf>
    <dxf>
      <font>
        <color theme="0"/>
      </font>
    </dxf>
    <dxf>
      <font>
        <color theme="6" tint="0.59996337778862885"/>
      </font>
    </dxf>
    <dxf>
      <font>
        <color theme="0"/>
      </font>
    </dxf>
    <dxf>
      <font>
        <color theme="0"/>
      </font>
    </dxf>
    <dxf>
      <font>
        <color theme="0"/>
      </font>
    </dxf>
    <dxf>
      <font>
        <color theme="0"/>
      </font>
    </dxf>
    <dxf>
      <font>
        <color theme="0"/>
      </font>
    </dxf>
    <dxf>
      <font>
        <color theme="0"/>
      </font>
    </dxf>
    <dxf>
      <font>
        <color theme="0"/>
      </font>
    </dxf>
    <dxf>
      <font>
        <color theme="0"/>
      </font>
    </dxf>
    <dxf>
      <font>
        <color rgb="FFD9EFC9"/>
      </font>
    </dxf>
    <dxf>
      <font>
        <color rgb="FFD9EFC9"/>
      </font>
    </dxf>
    <dxf>
      <font>
        <color rgb="FFD9EFC9"/>
      </font>
    </dxf>
    <dxf>
      <font>
        <color rgb="FFD9EFC9"/>
      </font>
    </dxf>
    <dxf>
      <font>
        <color rgb="FFD9EFC9"/>
      </font>
    </dxf>
    <dxf>
      <font>
        <color rgb="FFD9EFC9"/>
      </font>
    </dxf>
    <dxf>
      <font>
        <color rgb="FFD9EFC9"/>
      </font>
    </dxf>
    <dxf>
      <font>
        <color rgb="FFD9EFC9"/>
      </font>
    </dxf>
    <dxf>
      <font>
        <color theme="0"/>
      </font>
    </dxf>
    <dxf>
      <font>
        <color theme="0" tint="-4.9989318521683403E-2"/>
      </font>
      <fill>
        <patternFill>
          <bgColor theme="0" tint="-4.9989318521683403E-2"/>
        </patternFill>
      </fill>
      <border>
        <left/>
        <right/>
        <top/>
        <bottom/>
      </border>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theme="6" tint="0.59996337778862885"/>
      </font>
    </dxf>
    <dxf>
      <font>
        <color theme="0"/>
      </font>
    </dxf>
    <dxf>
      <font>
        <color rgb="FFD9EFC9"/>
      </font>
    </dxf>
    <dxf>
      <font>
        <color theme="0"/>
      </font>
    </dxf>
    <dxf>
      <fill>
        <patternFill>
          <bgColor rgb="FFFFFFCC"/>
        </patternFill>
      </fill>
    </dxf>
    <dxf>
      <font>
        <color theme="0"/>
      </font>
    </dxf>
    <dxf>
      <font>
        <color theme="0"/>
      </font>
    </dxf>
    <dxf>
      <font>
        <color rgb="FFD9EFC9"/>
      </font>
    </dxf>
  </dxfs>
  <tableStyles count="0" defaultTableStyle="TableStyleMedium2" defaultPivotStyle="PivotStyleLight16"/>
  <colors>
    <mruColors>
      <color rgb="FFEDF7F9"/>
      <color rgb="FFF9F9F9"/>
      <color rgb="FFE2F3F6"/>
      <color rgb="FFC2E49C"/>
      <color rgb="FFFFFFCD"/>
      <color rgb="FFFFFFC1"/>
      <color rgb="FFFFD85D"/>
      <color rgb="FFB9D08C"/>
      <color rgb="FFFFD85B"/>
      <color rgb="FFF5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159542</xdr:colOff>
      <xdr:row>12</xdr:row>
      <xdr:rowOff>2503</xdr:rowOff>
    </xdr:from>
    <xdr:to>
      <xdr:col>7</xdr:col>
      <xdr:colOff>200025</xdr:colOff>
      <xdr:row>19</xdr:row>
      <xdr:rowOff>135539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21467" y="3107653"/>
          <a:ext cx="3250408" cy="1466536"/>
        </a:xfrm>
        <a:prstGeom prst="rect">
          <a:avLst/>
        </a:prstGeom>
      </xdr:spPr>
    </xdr:pic>
    <xdr:clientData/>
  </xdr:twoCellAnchor>
  <xdr:twoCellAnchor>
    <xdr:from>
      <xdr:col>11</xdr:col>
      <xdr:colOff>250031</xdr:colOff>
      <xdr:row>32</xdr:row>
      <xdr:rowOff>154781</xdr:rowOff>
    </xdr:from>
    <xdr:to>
      <xdr:col>12</xdr:col>
      <xdr:colOff>583406</xdr:colOff>
      <xdr:row>35</xdr:row>
      <xdr:rowOff>166687</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119812" y="6953250"/>
          <a:ext cx="940594" cy="5834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34</xdr:row>
      <xdr:rowOff>59531</xdr:rowOff>
    </xdr:from>
    <xdr:to>
      <xdr:col>12</xdr:col>
      <xdr:colOff>595312</xdr:colOff>
      <xdr:row>36</xdr:row>
      <xdr:rowOff>178593</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flipH="1" flipV="1">
          <a:off x="3810000" y="7239000"/>
          <a:ext cx="3262312" cy="5000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250031</xdr:colOff>
      <xdr:row>41</xdr:row>
      <xdr:rowOff>119062</xdr:rowOff>
    </xdr:from>
    <xdr:to>
      <xdr:col>12</xdr:col>
      <xdr:colOff>571500</xdr:colOff>
      <xdr:row>41</xdr:row>
      <xdr:rowOff>142875</xdr:rowOff>
    </xdr:to>
    <xdr:cxnSp macro="">
      <xdr:nvCxnSpPr>
        <xdr:cNvPr id="16" name="Straight Arrow Connector 15">
          <a:extLst>
            <a:ext uri="{FF2B5EF4-FFF2-40B4-BE49-F238E27FC236}">
              <a16:creationId xmlns:a16="http://schemas.microsoft.com/office/drawing/2014/main" id="{00000000-0008-0000-0000-000010000000}"/>
            </a:ext>
          </a:extLst>
        </xdr:cNvPr>
        <xdr:cNvCxnSpPr/>
      </xdr:nvCxnSpPr>
      <xdr:spPr>
        <a:xfrm flipH="1">
          <a:off x="6727031" y="8632031"/>
          <a:ext cx="321469" cy="238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23812</xdr:colOff>
      <xdr:row>24</xdr:row>
      <xdr:rowOff>130969</xdr:rowOff>
    </xdr:from>
    <xdr:to>
      <xdr:col>14</xdr:col>
      <xdr:colOff>258661</xdr:colOff>
      <xdr:row>43</xdr:row>
      <xdr:rowOff>168612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97718" y="5405438"/>
          <a:ext cx="7152381" cy="3657143"/>
        </a:xfrm>
        <a:prstGeom prst="rect">
          <a:avLst/>
        </a:prstGeom>
      </xdr:spPr>
    </xdr:pic>
    <xdr:clientData/>
  </xdr:twoCellAnchor>
  <xdr:twoCellAnchor editAs="oneCell">
    <xdr:from>
      <xdr:col>2</xdr:col>
      <xdr:colOff>357188</xdr:colOff>
      <xdr:row>20</xdr:row>
      <xdr:rowOff>83344</xdr:rowOff>
    </xdr:from>
    <xdr:to>
      <xdr:col>13</xdr:col>
      <xdr:colOff>361161</xdr:colOff>
      <xdr:row>23</xdr:row>
      <xdr:rowOff>130892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90563" y="4702969"/>
          <a:ext cx="6314286" cy="619048"/>
        </a:xfrm>
        <a:prstGeom prst="rect">
          <a:avLst/>
        </a:prstGeom>
        <a:ln>
          <a:solidFill>
            <a:schemeClr val="bg1">
              <a:lumMod val="65000"/>
            </a:schemeClr>
          </a:solidFill>
        </a:ln>
      </xdr:spPr>
    </xdr:pic>
    <xdr:clientData/>
  </xdr:twoCellAnchor>
  <xdr:twoCellAnchor>
    <xdr:from>
      <xdr:col>15</xdr:col>
      <xdr:colOff>0</xdr:colOff>
      <xdr:row>20</xdr:row>
      <xdr:rowOff>95250</xdr:rowOff>
    </xdr:from>
    <xdr:to>
      <xdr:col>21</xdr:col>
      <xdr:colOff>535781</xdr:colOff>
      <xdr:row>23</xdr:row>
      <xdr:rowOff>178593</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8298656" y="4607719"/>
          <a:ext cx="4179094" cy="654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Calculations use </a:t>
          </a:r>
          <a:r>
            <a:rPr lang="en-NZ" sz="1100" b="1" i="0" u="none" strike="noStrike">
              <a:solidFill>
                <a:schemeClr val="dk1"/>
              </a:solidFill>
              <a:effectLst/>
              <a:latin typeface="+mn-lt"/>
              <a:ea typeface="+mn-ea"/>
              <a:cs typeface="+mn-cs"/>
            </a:rPr>
            <a:t>today's date </a:t>
          </a:r>
          <a:r>
            <a:rPr lang="en-NZ" sz="1100" b="0" i="0" u="none" strike="noStrike">
              <a:solidFill>
                <a:schemeClr val="dk1"/>
              </a:solidFill>
              <a:effectLst/>
              <a:latin typeface="+mn-lt"/>
              <a:ea typeface="+mn-ea"/>
              <a:cs typeface="+mn-cs"/>
            </a:rPr>
            <a:t>unless you enter a different date (either retrospective or in the future) </a:t>
          </a:r>
          <a:r>
            <a:rPr lang="en-NZ"/>
            <a:t> </a:t>
          </a:r>
          <a:endParaRPr lang="en-NZ" sz="1100"/>
        </a:p>
      </xdr:txBody>
    </xdr:sp>
    <xdr:clientData/>
  </xdr:twoCellAnchor>
  <xdr:twoCellAnchor>
    <xdr:from>
      <xdr:col>14</xdr:col>
      <xdr:colOff>595312</xdr:colOff>
      <xdr:row>26</xdr:row>
      <xdr:rowOff>47625</xdr:rowOff>
    </xdr:from>
    <xdr:to>
      <xdr:col>21</xdr:col>
      <xdr:colOff>523875</xdr:colOff>
      <xdr:row>29</xdr:row>
      <xdr:rowOff>154782</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286750" y="5703094"/>
          <a:ext cx="4179094" cy="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Input your herd or mob details in this section. You need to select from all green drop-down menu options and fill in all yellow boxes for FEEDCHECKER  to calculate energy requirements.</a:t>
          </a:r>
          <a:r>
            <a:rPr lang="en-NZ"/>
            <a:t> </a:t>
          </a:r>
          <a:endParaRPr lang="en-NZ" sz="1100"/>
        </a:p>
      </xdr:txBody>
    </xdr:sp>
    <xdr:clientData/>
  </xdr:twoCellAnchor>
  <xdr:twoCellAnchor>
    <xdr:from>
      <xdr:col>15</xdr:col>
      <xdr:colOff>11906</xdr:colOff>
      <xdr:row>34</xdr:row>
      <xdr:rowOff>83344</xdr:rowOff>
    </xdr:from>
    <xdr:to>
      <xdr:col>21</xdr:col>
      <xdr:colOff>535781</xdr:colOff>
      <xdr:row>37</xdr:row>
      <xdr:rowOff>166688</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8310562" y="7262813"/>
          <a:ext cx="4167188" cy="65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You have the option to calculate pasture allocated by using pre-grazing cover,</a:t>
          </a:r>
          <a:r>
            <a:rPr lang="en-NZ" sz="1100" b="0" i="0" u="none" strike="noStrike" baseline="0">
              <a:solidFill>
                <a:schemeClr val="dk1"/>
              </a:solidFill>
              <a:effectLst/>
              <a:latin typeface="+mn-lt"/>
              <a:ea typeface="+mn-ea"/>
              <a:cs typeface="+mn-cs"/>
            </a:rPr>
            <a:t> post-grazing residual </a:t>
          </a:r>
          <a:r>
            <a:rPr lang="en-NZ" sz="1100" b="0" i="0" u="none" strike="noStrike">
              <a:solidFill>
                <a:schemeClr val="dk1"/>
              </a:solidFill>
              <a:effectLst/>
              <a:latin typeface="+mn-lt"/>
              <a:ea typeface="+mn-ea"/>
              <a:cs typeface="+mn-cs"/>
            </a:rPr>
            <a:t>and allocated area, or for a shortcut you can directly enter your estimate of pasture offered.</a:t>
          </a:r>
          <a:r>
            <a:rPr lang="en-NZ"/>
            <a:t> </a:t>
          </a:r>
          <a:endParaRPr lang="en-NZ" sz="1100"/>
        </a:p>
      </xdr:txBody>
    </xdr:sp>
    <xdr:clientData/>
  </xdr:twoCellAnchor>
  <xdr:twoCellAnchor>
    <xdr:from>
      <xdr:col>15</xdr:col>
      <xdr:colOff>0</xdr:colOff>
      <xdr:row>39</xdr:row>
      <xdr:rowOff>35719</xdr:rowOff>
    </xdr:from>
    <xdr:to>
      <xdr:col>21</xdr:col>
      <xdr:colOff>523875</xdr:colOff>
      <xdr:row>42</xdr:row>
      <xdr:rowOff>35719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7858125" y="8274844"/>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If you strongly believe that the default</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energy (MJ ME) value for the pasture you have selected isn't correct for this farm/season, you can input your own figure</a:t>
          </a:r>
          <a:r>
            <a:rPr lang="en-NZ"/>
            <a:t> </a:t>
          </a:r>
          <a:endParaRPr lang="en-NZ" sz="1100"/>
        </a:p>
      </xdr:txBody>
    </xdr:sp>
    <xdr:clientData/>
  </xdr:twoCellAnchor>
  <xdr:twoCellAnchor>
    <xdr:from>
      <xdr:col>13</xdr:col>
      <xdr:colOff>571500</xdr:colOff>
      <xdr:row>35</xdr:row>
      <xdr:rowOff>59531</xdr:rowOff>
    </xdr:from>
    <xdr:to>
      <xdr:col>14</xdr:col>
      <xdr:colOff>511970</xdr:colOff>
      <xdr:row>36</xdr:row>
      <xdr:rowOff>47625</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a:off x="7655719" y="7429500"/>
          <a:ext cx="547689" cy="1785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547687</xdr:colOff>
      <xdr:row>35</xdr:row>
      <xdr:rowOff>47625</xdr:rowOff>
    </xdr:from>
    <xdr:to>
      <xdr:col>14</xdr:col>
      <xdr:colOff>511969</xdr:colOff>
      <xdr:row>42</xdr:row>
      <xdr:rowOff>0</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flipH="1">
          <a:off x="7024687" y="7417594"/>
          <a:ext cx="1178720" cy="1285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345282</xdr:colOff>
      <xdr:row>39</xdr:row>
      <xdr:rowOff>142875</xdr:rowOff>
    </xdr:from>
    <xdr:to>
      <xdr:col>14</xdr:col>
      <xdr:colOff>428625</xdr:colOff>
      <xdr:row>40</xdr:row>
      <xdr:rowOff>142875</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flipH="1" flipV="1">
          <a:off x="3952876" y="8382000"/>
          <a:ext cx="3726655"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11905</xdr:colOff>
      <xdr:row>53</xdr:row>
      <xdr:rowOff>71439</xdr:rowOff>
    </xdr:from>
    <xdr:to>
      <xdr:col>14</xdr:col>
      <xdr:colOff>254611</xdr:colOff>
      <xdr:row>55</xdr:row>
      <xdr:rowOff>80915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6048374" y="10977564"/>
          <a:ext cx="1457143" cy="390476"/>
        </a:xfrm>
        <a:prstGeom prst="rect">
          <a:avLst/>
        </a:prstGeom>
      </xdr:spPr>
    </xdr:pic>
    <xdr:clientData/>
  </xdr:twoCellAnchor>
  <xdr:twoCellAnchor>
    <xdr:from>
      <xdr:col>14</xdr:col>
      <xdr:colOff>535780</xdr:colOff>
      <xdr:row>51</xdr:row>
      <xdr:rowOff>71437</xdr:rowOff>
    </xdr:from>
    <xdr:to>
      <xdr:col>21</xdr:col>
      <xdr:colOff>452436</xdr:colOff>
      <xdr:row>54</xdr:row>
      <xdr:rowOff>71437</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7786686" y="10596562"/>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select</a:t>
          </a:r>
          <a:r>
            <a:rPr lang="en-NZ" sz="1100" b="0" i="0" u="none" strike="noStrike" baseline="0">
              <a:solidFill>
                <a:schemeClr val="dk1"/>
              </a:solidFill>
              <a:effectLst/>
              <a:latin typeface="+mn-lt"/>
              <a:ea typeface="+mn-ea"/>
              <a:cs typeface="+mn-cs"/>
            </a:rPr>
            <a:t> YES, this allows you to </a:t>
          </a:r>
          <a:r>
            <a:rPr lang="en-NZ" sz="1100" b="0" i="0" u="none" strike="noStrike">
              <a:solidFill>
                <a:schemeClr val="dk1"/>
              </a:solidFill>
              <a:effectLst/>
              <a:latin typeface="+mn-lt"/>
              <a:ea typeface="+mn-ea"/>
              <a:cs typeface="+mn-cs"/>
            </a:rPr>
            <a:t>compare a</a:t>
          </a:r>
          <a:r>
            <a:rPr lang="en-NZ" sz="1100" b="0" i="0" u="none" strike="noStrike" baseline="0">
              <a:solidFill>
                <a:schemeClr val="dk1"/>
              </a:solidFill>
              <a:effectLst/>
              <a:latin typeface="+mn-lt"/>
              <a:ea typeface="+mn-ea"/>
              <a:cs typeface="+mn-cs"/>
            </a:rPr>
            <a:t> second diet</a:t>
          </a:r>
          <a:r>
            <a:rPr lang="en-NZ" sz="1100" b="0" i="0" u="none" strike="noStrike">
              <a:solidFill>
                <a:schemeClr val="dk1"/>
              </a:solidFill>
              <a:effectLst/>
              <a:latin typeface="+mn-lt"/>
              <a:ea typeface="+mn-ea"/>
              <a:cs typeface="+mn-cs"/>
            </a:rPr>
            <a:t> (Option 1 &amp; Option 2)</a:t>
          </a:r>
          <a:r>
            <a:rPr lang="en-NZ"/>
            <a:t> </a:t>
          </a:r>
          <a:endParaRPr lang="en-NZ" sz="1100"/>
        </a:p>
      </xdr:txBody>
    </xdr:sp>
    <xdr:clientData/>
  </xdr:twoCellAnchor>
  <xdr:twoCellAnchor>
    <xdr:from>
      <xdr:col>14</xdr:col>
      <xdr:colOff>535782</xdr:colOff>
      <xdr:row>54</xdr:row>
      <xdr:rowOff>142875</xdr:rowOff>
    </xdr:from>
    <xdr:to>
      <xdr:col>21</xdr:col>
      <xdr:colOff>452438</xdr:colOff>
      <xdr:row>57</xdr:row>
      <xdr:rowOff>142875</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7786688" y="11239500"/>
          <a:ext cx="4167188"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Select the grazing conditions</a:t>
          </a:r>
          <a:r>
            <a:rPr lang="en-NZ" sz="1100" b="0" i="0" u="none" strike="noStrike" baseline="0">
              <a:solidFill>
                <a:schemeClr val="dk1"/>
              </a:solidFill>
              <a:effectLst/>
              <a:latin typeface="+mn-lt"/>
              <a:ea typeface="+mn-ea"/>
              <a:cs typeface="+mn-cs"/>
            </a:rPr>
            <a:t> from "very good" to "poor"</a:t>
          </a:r>
          <a:r>
            <a:rPr lang="en-NZ" sz="1100" b="0" i="0" u="none" strike="noStrike">
              <a:solidFill>
                <a:schemeClr val="dk1"/>
              </a:solidFill>
              <a:effectLst/>
              <a:latin typeface="+mn-lt"/>
              <a:ea typeface="+mn-ea"/>
              <a:cs typeface="+mn-cs"/>
            </a:rPr>
            <a:t>. This affects the utilisation rate and amount of pasture eaten</a:t>
          </a:r>
          <a:r>
            <a:rPr lang="en-NZ"/>
            <a:t> </a:t>
          </a:r>
          <a:endParaRPr lang="en-NZ" sz="1100"/>
        </a:p>
      </xdr:txBody>
    </xdr:sp>
    <xdr:clientData/>
  </xdr:twoCellAnchor>
  <xdr:twoCellAnchor>
    <xdr:from>
      <xdr:col>14</xdr:col>
      <xdr:colOff>559593</xdr:colOff>
      <xdr:row>58</xdr:row>
      <xdr:rowOff>23810</xdr:rowOff>
    </xdr:from>
    <xdr:to>
      <xdr:col>21</xdr:col>
      <xdr:colOff>476250</xdr:colOff>
      <xdr:row>64</xdr:row>
      <xdr:rowOff>166686</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7810499" y="11882435"/>
          <a:ext cx="4167189"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Select the "Feed Type", and the subsequent drop-down menus will change to show</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applicable FEED and FEEDING METHOD options.</a:t>
          </a:r>
          <a:r>
            <a:rPr lang="en-NZ" sz="1100" b="0" i="0" u="none" strike="noStrike" baseline="0">
              <a:solidFill>
                <a:schemeClr val="dk1"/>
              </a:solidFill>
              <a:effectLst/>
              <a:latin typeface="+mn-lt"/>
              <a:ea typeface="+mn-ea"/>
              <a:cs typeface="+mn-cs"/>
            </a:rPr>
            <a:t> </a:t>
          </a:r>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Enter the amount offered in kg DM /cow. Feed eaten will be calculated based on</a:t>
          </a:r>
          <a:r>
            <a:rPr lang="en-NZ" sz="1100" b="0" i="0" u="none" strike="noStrike" baseline="0">
              <a:solidFill>
                <a:schemeClr val="dk1"/>
              </a:solidFill>
              <a:effectLst/>
              <a:latin typeface="+mn-lt"/>
              <a:ea typeface="+mn-ea"/>
              <a:cs typeface="+mn-cs"/>
            </a:rPr>
            <a:t> the feeding method selected and matching utilisation</a:t>
          </a:r>
          <a:r>
            <a:rPr lang="en-NZ" sz="1100" b="0" i="0" u="none" strike="noStrike">
              <a:solidFill>
                <a:schemeClr val="dk1"/>
              </a:solidFill>
              <a:effectLst/>
              <a:latin typeface="+mn-lt"/>
              <a:ea typeface="+mn-ea"/>
              <a:cs typeface="+mn-cs"/>
            </a:rPr>
            <a:t>. </a:t>
          </a:r>
          <a:endParaRPr lang="en-NZ" sz="1100"/>
        </a:p>
      </xdr:txBody>
    </xdr:sp>
    <xdr:clientData/>
  </xdr:twoCellAnchor>
  <xdr:twoCellAnchor editAs="oneCell">
    <xdr:from>
      <xdr:col>5</xdr:col>
      <xdr:colOff>226217</xdr:colOff>
      <xdr:row>70</xdr:row>
      <xdr:rowOff>178592</xdr:rowOff>
    </xdr:from>
    <xdr:to>
      <xdr:col>13</xdr:col>
      <xdr:colOff>337561</xdr:colOff>
      <xdr:row>72</xdr:row>
      <xdr:rowOff>164225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
        <a:stretch>
          <a:fillRect/>
        </a:stretch>
      </xdr:blipFill>
      <xdr:spPr>
        <a:xfrm>
          <a:off x="2381248" y="14323217"/>
          <a:ext cx="4600001" cy="628571"/>
        </a:xfrm>
        <a:prstGeom prst="rect">
          <a:avLst/>
        </a:prstGeom>
      </xdr:spPr>
    </xdr:pic>
    <xdr:clientData/>
  </xdr:twoCellAnchor>
  <xdr:twoCellAnchor>
    <xdr:from>
      <xdr:col>14</xdr:col>
      <xdr:colOff>488154</xdr:colOff>
      <xdr:row>71</xdr:row>
      <xdr:rowOff>130969</xdr:rowOff>
    </xdr:from>
    <xdr:to>
      <xdr:col>21</xdr:col>
      <xdr:colOff>404811</xdr:colOff>
      <xdr:row>71</xdr:row>
      <xdr:rowOff>416719</xdr:rowOff>
    </xdr:to>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7739060" y="14466094"/>
          <a:ext cx="4167189"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 summary of feed offered and eaten is calculated.</a:t>
          </a:r>
          <a:endParaRPr lang="en-NZ" sz="1100"/>
        </a:p>
      </xdr:txBody>
    </xdr:sp>
    <xdr:clientData/>
  </xdr:twoCellAnchor>
  <xdr:twoCellAnchor editAs="oneCell">
    <xdr:from>
      <xdr:col>2</xdr:col>
      <xdr:colOff>23812</xdr:colOff>
      <xdr:row>66</xdr:row>
      <xdr:rowOff>59531</xdr:rowOff>
    </xdr:from>
    <xdr:to>
      <xdr:col>14</xdr:col>
      <xdr:colOff>381000</xdr:colOff>
      <xdr:row>69</xdr:row>
      <xdr:rowOff>145174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stretch>
          <a:fillRect/>
        </a:stretch>
      </xdr:blipFill>
      <xdr:spPr>
        <a:xfrm>
          <a:off x="357187" y="13442156"/>
          <a:ext cx="7274719" cy="657143"/>
        </a:xfrm>
        <a:prstGeom prst="rect">
          <a:avLst/>
        </a:prstGeom>
        <a:ln>
          <a:solidFill>
            <a:schemeClr val="bg1">
              <a:lumMod val="65000"/>
            </a:schemeClr>
          </a:solidFill>
        </a:ln>
      </xdr:spPr>
    </xdr:pic>
    <xdr:clientData/>
  </xdr:twoCellAnchor>
  <xdr:twoCellAnchor>
    <xdr:from>
      <xdr:col>14</xdr:col>
      <xdr:colOff>511967</xdr:colOff>
      <xdr:row>66</xdr:row>
      <xdr:rowOff>178593</xdr:rowOff>
    </xdr:from>
    <xdr:to>
      <xdr:col>21</xdr:col>
      <xdr:colOff>428624</xdr:colOff>
      <xdr:row>69</xdr:row>
      <xdr:rowOff>130968</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7762873" y="13561218"/>
          <a:ext cx="4167189"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Custom feeds and crops can be added to the drop</a:t>
          </a:r>
          <a:r>
            <a:rPr lang="en-NZ" sz="1100" b="0" i="0" u="none" strike="noStrike" baseline="0">
              <a:solidFill>
                <a:schemeClr val="dk1"/>
              </a:solidFill>
              <a:effectLst/>
              <a:latin typeface="+mn-lt"/>
              <a:ea typeface="+mn-ea"/>
              <a:cs typeface="+mn-cs"/>
            </a:rPr>
            <a:t>-down menu by filling in feed details on the CUSTOM FEED SET-UP page</a:t>
          </a:r>
          <a:endParaRPr lang="en-NZ" sz="1100"/>
        </a:p>
      </xdr:txBody>
    </xdr:sp>
    <xdr:clientData/>
  </xdr:twoCellAnchor>
  <xdr:twoCellAnchor editAs="oneCell">
    <xdr:from>
      <xdr:col>2</xdr:col>
      <xdr:colOff>95249</xdr:colOff>
      <xdr:row>73</xdr:row>
      <xdr:rowOff>71437</xdr:rowOff>
    </xdr:from>
    <xdr:to>
      <xdr:col>8</xdr:col>
      <xdr:colOff>392459</xdr:colOff>
      <xdr:row>87</xdr:row>
      <xdr:rowOff>118723</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7"/>
        <a:stretch>
          <a:fillRect/>
        </a:stretch>
      </xdr:blipFill>
      <xdr:spPr>
        <a:xfrm>
          <a:off x="428624" y="15049500"/>
          <a:ext cx="3571429" cy="2714286"/>
        </a:xfrm>
        <a:prstGeom prst="rect">
          <a:avLst/>
        </a:prstGeom>
        <a:ln>
          <a:solidFill>
            <a:schemeClr val="bg1">
              <a:lumMod val="65000"/>
            </a:schemeClr>
          </a:solidFill>
        </a:ln>
      </xdr:spPr>
    </xdr:pic>
    <xdr:clientData/>
  </xdr:twoCellAnchor>
  <xdr:twoCellAnchor>
    <xdr:from>
      <xdr:col>14</xdr:col>
      <xdr:colOff>595311</xdr:colOff>
      <xdr:row>74</xdr:row>
      <xdr:rowOff>178594</xdr:rowOff>
    </xdr:from>
    <xdr:to>
      <xdr:col>21</xdr:col>
      <xdr:colOff>511968</xdr:colOff>
      <xdr:row>78</xdr:row>
      <xdr:rowOff>47626</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8286749" y="15240000"/>
          <a:ext cx="4167188" cy="631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will calculate DM and energy requirements based on your mob inputs.</a:t>
          </a:r>
          <a:endParaRPr lang="en-NZ" sz="1100"/>
        </a:p>
      </xdr:txBody>
    </xdr:sp>
    <xdr:clientData/>
  </xdr:twoCellAnchor>
  <xdr:twoCellAnchor>
    <xdr:from>
      <xdr:col>9</xdr:col>
      <xdr:colOff>95250</xdr:colOff>
      <xdr:row>76</xdr:row>
      <xdr:rowOff>23813</xdr:rowOff>
    </xdr:from>
    <xdr:to>
      <xdr:col>14</xdr:col>
      <xdr:colOff>357186</xdr:colOff>
      <xdr:row>77</xdr:row>
      <xdr:rowOff>59531</xdr:rowOff>
    </xdr:to>
    <xdr:cxnSp macro="">
      <xdr:nvCxnSpPr>
        <xdr:cNvPr id="44" name="Straight Arrow Connector 43">
          <a:extLst>
            <a:ext uri="{FF2B5EF4-FFF2-40B4-BE49-F238E27FC236}">
              <a16:creationId xmlns:a16="http://schemas.microsoft.com/office/drawing/2014/main" id="{00000000-0008-0000-0000-00002C000000}"/>
            </a:ext>
          </a:extLst>
        </xdr:cNvPr>
        <xdr:cNvCxnSpPr/>
      </xdr:nvCxnSpPr>
      <xdr:spPr>
        <a:xfrm flipH="1">
          <a:off x="4750594" y="15466219"/>
          <a:ext cx="3298030" cy="2262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84</xdr:row>
      <xdr:rowOff>107156</xdr:rowOff>
    </xdr:from>
    <xdr:to>
      <xdr:col>8</xdr:col>
      <xdr:colOff>449590</xdr:colOff>
      <xdr:row>104</xdr:row>
      <xdr:rowOff>11442</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stretch>
          <a:fillRect/>
        </a:stretch>
      </xdr:blipFill>
      <xdr:spPr>
        <a:xfrm>
          <a:off x="773906" y="17073562"/>
          <a:ext cx="3723809" cy="3714286"/>
        </a:xfrm>
        <a:prstGeom prst="rect">
          <a:avLst/>
        </a:prstGeom>
        <a:ln>
          <a:solidFill>
            <a:schemeClr val="bg1">
              <a:lumMod val="65000"/>
            </a:schemeClr>
          </a:solidFill>
        </a:ln>
      </xdr:spPr>
    </xdr:pic>
    <xdr:clientData/>
  </xdr:twoCellAnchor>
  <xdr:twoCellAnchor>
    <xdr:from>
      <xdr:col>14</xdr:col>
      <xdr:colOff>500061</xdr:colOff>
      <xdr:row>79</xdr:row>
      <xdr:rowOff>190497</xdr:rowOff>
    </xdr:from>
    <xdr:to>
      <xdr:col>21</xdr:col>
      <xdr:colOff>416718</xdr:colOff>
      <xdr:row>94</xdr:row>
      <xdr:rowOff>28574</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7767636" y="16325847"/>
          <a:ext cx="4183857" cy="2695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This is the main summary.</a:t>
          </a:r>
          <a:r>
            <a:rPr lang="en-NZ" sz="1100" b="0" i="0" u="none" strike="noStrike" baseline="0">
              <a:solidFill>
                <a:schemeClr val="dk1"/>
              </a:solidFill>
              <a:effectLst/>
              <a:latin typeface="+mn-lt"/>
              <a:ea typeface="+mn-ea"/>
              <a:cs typeface="+mn-cs"/>
            </a:rPr>
            <a:t> It compares the nutrient and energy requirements of cows at d</a:t>
          </a:r>
          <a:r>
            <a:rPr lang="en-NZ" sz="1100" b="0" i="0" baseline="0">
              <a:solidFill>
                <a:schemeClr val="dk1"/>
              </a:solidFill>
              <a:effectLst/>
              <a:latin typeface="+mn-lt"/>
              <a:ea typeface="+mn-ea"/>
              <a:cs typeface="+mn-cs"/>
            </a:rPr>
            <a:t>ifferent stages of lactation and pregnancy with what is supplied in the diet (</a:t>
          </a:r>
          <a:r>
            <a:rPr lang="en-NZ" sz="1100" b="0" i="0" u="none" strike="noStrike" baseline="0">
              <a:solidFill>
                <a:schemeClr val="dk1"/>
              </a:solidFill>
              <a:effectLst/>
              <a:latin typeface="+mn-lt"/>
              <a:ea typeface="+mn-ea"/>
              <a:cs typeface="+mn-cs"/>
            </a:rPr>
            <a:t>options 1 and 2). </a:t>
          </a:r>
        </a:p>
        <a:p>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The cells in Option 1 and Option 2 will change colour if the values are outside of the recommended range. </a:t>
          </a:r>
        </a:p>
        <a:p>
          <a:r>
            <a:rPr lang="en-NZ" sz="1100" b="0" i="0" u="none" strike="noStrike">
              <a:solidFill>
                <a:schemeClr val="dk1"/>
              </a:solidFill>
              <a:effectLst/>
              <a:latin typeface="+mn-lt"/>
              <a:ea typeface="+mn-ea"/>
              <a:cs typeface="+mn-cs"/>
            </a:rPr>
            <a:t>In this example,</a:t>
          </a:r>
          <a:r>
            <a:rPr lang="en-NZ" sz="1100" b="0" i="0" u="none" strike="noStrike" baseline="0">
              <a:solidFill>
                <a:schemeClr val="dk1"/>
              </a:solidFill>
              <a:effectLst/>
              <a:latin typeface="+mn-lt"/>
              <a:ea typeface="+mn-ea"/>
              <a:cs typeface="+mn-cs"/>
            </a:rPr>
            <a:t> there is </a:t>
          </a:r>
          <a:r>
            <a:rPr lang="en-NZ" sz="1100" b="0" i="0" u="none" strike="noStrike">
              <a:solidFill>
                <a:schemeClr val="dk1"/>
              </a:solidFill>
              <a:effectLst/>
              <a:latin typeface="+mn-lt"/>
              <a:ea typeface="+mn-ea"/>
              <a:cs typeface="+mn-cs"/>
            </a:rPr>
            <a:t>a deficit of ~ 2 kg DM for Option 1 and a surplus of 4.2 kg DM for Option 2.  </a:t>
          </a:r>
        </a:p>
        <a:p>
          <a:endParaRPr lang="en-NZ" sz="1100" b="0" i="0" u="none" strike="noStrike">
            <a:solidFill>
              <a:schemeClr val="dk1"/>
            </a:solidFill>
            <a:effectLst/>
            <a:latin typeface="+mn-lt"/>
            <a:ea typeface="+mn-ea"/>
            <a:cs typeface="+mn-cs"/>
          </a:endParaRPr>
        </a:p>
        <a:p>
          <a:r>
            <a:rPr lang="en-NZ" sz="1100" b="0" i="0" u="none" strike="noStrike">
              <a:solidFill>
                <a:schemeClr val="dk1"/>
              </a:solidFill>
              <a:effectLst/>
              <a:latin typeface="+mn-lt"/>
              <a:ea typeface="+mn-ea"/>
              <a:cs typeface="+mn-cs"/>
            </a:rPr>
            <a:t>Management options, to ensure nutrient and energy supply</a:t>
          </a:r>
          <a:r>
            <a:rPr lang="en-NZ" sz="1100" b="0" i="0" u="none" strike="noStrike" baseline="0">
              <a:solidFill>
                <a:schemeClr val="dk1"/>
              </a:solidFill>
              <a:effectLst/>
              <a:latin typeface="+mn-lt"/>
              <a:ea typeface="+mn-ea"/>
              <a:cs typeface="+mn-cs"/>
            </a:rPr>
            <a:t> meets demand, may </a:t>
          </a:r>
          <a:r>
            <a:rPr lang="en-NZ" sz="1100" b="0" i="0" u="none" strike="noStrike">
              <a:solidFill>
                <a:schemeClr val="dk1"/>
              </a:solidFill>
              <a:effectLst/>
              <a:latin typeface="+mn-lt"/>
              <a:ea typeface="+mn-ea"/>
              <a:cs typeface="+mn-cs"/>
            </a:rPr>
            <a:t>include increasing</a:t>
          </a:r>
          <a:r>
            <a:rPr lang="en-NZ" sz="1100" b="0" i="0" u="none" strike="noStrike" baseline="0">
              <a:solidFill>
                <a:schemeClr val="dk1"/>
              </a:solidFill>
              <a:effectLst/>
              <a:latin typeface="+mn-lt"/>
              <a:ea typeface="+mn-ea"/>
              <a:cs typeface="+mn-cs"/>
            </a:rPr>
            <a:t> supply (e.g. </a:t>
          </a:r>
          <a:r>
            <a:rPr lang="en-NZ" sz="1100" b="0" i="0" u="none" strike="noStrike">
              <a:solidFill>
                <a:schemeClr val="dk1"/>
              </a:solidFill>
              <a:effectLst/>
              <a:latin typeface="+mn-lt"/>
              <a:ea typeface="+mn-ea"/>
              <a:cs typeface="+mn-cs"/>
            </a:rPr>
            <a:t>allocating</a:t>
          </a:r>
          <a:r>
            <a:rPr lang="en-NZ" sz="1100" b="0" i="0" u="none" strike="noStrike" baseline="0">
              <a:solidFill>
                <a:schemeClr val="dk1"/>
              </a:solidFill>
              <a:effectLst/>
              <a:latin typeface="+mn-lt"/>
              <a:ea typeface="+mn-ea"/>
              <a:cs typeface="+mn-cs"/>
            </a:rPr>
            <a:t> </a:t>
          </a:r>
          <a:r>
            <a:rPr lang="en-NZ" sz="1100" b="0" i="0" u="none" strike="noStrike">
              <a:solidFill>
                <a:schemeClr val="dk1"/>
              </a:solidFill>
              <a:effectLst/>
              <a:latin typeface="+mn-lt"/>
              <a:ea typeface="+mn-ea"/>
              <a:cs typeface="+mn-cs"/>
            </a:rPr>
            <a:t>more pasture, offering more supplements), or reducing demand (e.g. accepting a lower milk production</a:t>
          </a:r>
          <a:r>
            <a:rPr lang="en-NZ" sz="1100" b="0" i="0" u="none" strike="noStrike" baseline="0">
              <a:solidFill>
                <a:schemeClr val="dk1"/>
              </a:solidFill>
              <a:effectLst/>
              <a:latin typeface="+mn-lt"/>
              <a:ea typeface="+mn-ea"/>
              <a:cs typeface="+mn-cs"/>
            </a:rPr>
            <a:t> or BCS gain) or a combination of both. </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Note: this calculator does not highlight the most profitable option</a:t>
          </a:r>
          <a:endParaRPr lang="en-NZ" sz="1100"/>
        </a:p>
      </xdr:txBody>
    </xdr:sp>
    <xdr:clientData/>
  </xdr:twoCellAnchor>
  <xdr:twoCellAnchor>
    <xdr:from>
      <xdr:col>9</xdr:col>
      <xdr:colOff>35718</xdr:colOff>
      <xdr:row>83</xdr:row>
      <xdr:rowOff>71438</xdr:rowOff>
    </xdr:from>
    <xdr:to>
      <xdr:col>14</xdr:col>
      <xdr:colOff>440531</xdr:colOff>
      <xdr:row>91</xdr:row>
      <xdr:rowOff>119062</xdr:rowOff>
    </xdr:to>
    <xdr:cxnSp macro="">
      <xdr:nvCxnSpPr>
        <xdr:cNvPr id="48" name="Straight Arrow Connector 47">
          <a:extLst>
            <a:ext uri="{FF2B5EF4-FFF2-40B4-BE49-F238E27FC236}">
              <a16:creationId xmlns:a16="http://schemas.microsoft.com/office/drawing/2014/main" id="{00000000-0008-0000-0000-000030000000}"/>
            </a:ext>
          </a:extLst>
        </xdr:cNvPr>
        <xdr:cNvCxnSpPr/>
      </xdr:nvCxnSpPr>
      <xdr:spPr>
        <a:xfrm flipH="1">
          <a:off x="4691062" y="16847344"/>
          <a:ext cx="3440907" cy="15716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190500</xdr:colOff>
      <xdr:row>93</xdr:row>
      <xdr:rowOff>71438</xdr:rowOff>
    </xdr:from>
    <xdr:to>
      <xdr:col>14</xdr:col>
      <xdr:colOff>259168</xdr:colOff>
      <xdr:row>109</xdr:row>
      <xdr:rowOff>137724</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9"/>
        <a:stretch>
          <a:fillRect/>
        </a:stretch>
      </xdr:blipFill>
      <xdr:spPr>
        <a:xfrm>
          <a:off x="4405313" y="19812001"/>
          <a:ext cx="3104761" cy="3114286"/>
        </a:xfrm>
        <a:prstGeom prst="rect">
          <a:avLst/>
        </a:prstGeom>
        <a:ln>
          <a:solidFill>
            <a:schemeClr val="bg1">
              <a:lumMod val="65000"/>
            </a:schemeClr>
          </a:solidFill>
        </a:ln>
      </xdr:spPr>
    </xdr:pic>
    <xdr:clientData/>
  </xdr:twoCellAnchor>
  <xdr:twoCellAnchor>
    <xdr:from>
      <xdr:col>14</xdr:col>
      <xdr:colOff>500060</xdr:colOff>
      <xdr:row>99</xdr:row>
      <xdr:rowOff>154782</xdr:rowOff>
    </xdr:from>
    <xdr:to>
      <xdr:col>21</xdr:col>
      <xdr:colOff>416717</xdr:colOff>
      <xdr:row>103</xdr:row>
      <xdr:rowOff>38100</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7767635" y="20100132"/>
          <a:ext cx="4183857" cy="645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will also calculate the mineral requirements</a:t>
          </a:r>
          <a:r>
            <a:rPr lang="en-NZ" sz="1100" b="0" i="0" u="none" strike="noStrike" baseline="0">
              <a:solidFill>
                <a:schemeClr val="dk1"/>
              </a:solidFill>
              <a:effectLst/>
              <a:latin typeface="+mn-lt"/>
              <a:ea typeface="+mn-ea"/>
              <a:cs typeface="+mn-cs"/>
            </a:rPr>
            <a:t> of the diet for the different stages of lactation and dry period and highlight any deficiencies.</a:t>
          </a:r>
        </a:p>
        <a:p>
          <a:endParaRPr lang="en-NZ" sz="1100" b="0" i="0" u="none" strike="noStrike" baseline="0">
            <a:solidFill>
              <a:schemeClr val="dk1"/>
            </a:solidFill>
            <a:effectLst/>
            <a:latin typeface="+mn-lt"/>
            <a:ea typeface="+mn-ea"/>
            <a:cs typeface="+mn-cs"/>
          </a:endParaRPr>
        </a:p>
      </xdr:txBody>
    </xdr:sp>
    <xdr:clientData/>
  </xdr:twoCellAnchor>
  <xdr:twoCellAnchor editAs="oneCell">
    <xdr:from>
      <xdr:col>1</xdr:col>
      <xdr:colOff>154781</xdr:colOff>
      <xdr:row>109</xdr:row>
      <xdr:rowOff>71438</xdr:rowOff>
    </xdr:from>
    <xdr:to>
      <xdr:col>8</xdr:col>
      <xdr:colOff>475780</xdr:colOff>
      <xdr:row>120</xdr:row>
      <xdr:rowOff>128319</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0"/>
        <a:stretch>
          <a:fillRect/>
        </a:stretch>
      </xdr:blipFill>
      <xdr:spPr>
        <a:xfrm>
          <a:off x="321469" y="21907501"/>
          <a:ext cx="3761905" cy="2152381"/>
        </a:xfrm>
        <a:prstGeom prst="rect">
          <a:avLst/>
        </a:prstGeom>
      </xdr:spPr>
    </xdr:pic>
    <xdr:clientData/>
  </xdr:twoCellAnchor>
  <xdr:twoCellAnchor>
    <xdr:from>
      <xdr:col>14</xdr:col>
      <xdr:colOff>547688</xdr:colOff>
      <xdr:row>111</xdr:row>
      <xdr:rowOff>59531</xdr:rowOff>
    </xdr:from>
    <xdr:to>
      <xdr:col>21</xdr:col>
      <xdr:colOff>464344</xdr:colOff>
      <xdr:row>116</xdr:row>
      <xdr:rowOff>154781</xdr:rowOff>
    </xdr:to>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7798594" y="22276594"/>
          <a:ext cx="4167188"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FEEDCHECKER can calculate energy and mineral requirements specifically for Transition cows </a:t>
          </a:r>
          <a:r>
            <a:rPr lang="en-NZ" sz="1100" b="0" i="0" u="none" strike="noStrike" baseline="0">
              <a:solidFill>
                <a:schemeClr val="dk1"/>
              </a:solidFill>
              <a:effectLst/>
              <a:latin typeface="+mn-lt"/>
              <a:ea typeface="+mn-ea"/>
              <a:cs typeface="+mn-cs"/>
            </a:rPr>
            <a:t>when the dry cow option is selected in the Herd/Mob inputs.</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DCAD calculations are also provided if required.</a:t>
          </a:r>
          <a:endParaRPr lang="en-NZ" sz="1100"/>
        </a:p>
      </xdr:txBody>
    </xdr:sp>
    <xdr:clientData/>
  </xdr:twoCellAnchor>
  <xdr:twoCellAnchor>
    <xdr:from>
      <xdr:col>8</xdr:col>
      <xdr:colOff>523876</xdr:colOff>
      <xdr:row>113</xdr:row>
      <xdr:rowOff>11906</xdr:rowOff>
    </xdr:from>
    <xdr:to>
      <xdr:col>14</xdr:col>
      <xdr:colOff>428625</xdr:colOff>
      <xdr:row>115</xdr:row>
      <xdr:rowOff>23811</xdr:rowOff>
    </xdr:to>
    <xdr:cxnSp macro="">
      <xdr:nvCxnSpPr>
        <xdr:cNvPr id="58" name="Straight Arrow Connector 57">
          <a:extLst>
            <a:ext uri="{FF2B5EF4-FFF2-40B4-BE49-F238E27FC236}">
              <a16:creationId xmlns:a16="http://schemas.microsoft.com/office/drawing/2014/main" id="{00000000-0008-0000-0000-00003A000000}"/>
            </a:ext>
          </a:extLst>
        </xdr:cNvPr>
        <xdr:cNvCxnSpPr/>
      </xdr:nvCxnSpPr>
      <xdr:spPr>
        <a:xfrm flipH="1">
          <a:off x="4131470" y="22609969"/>
          <a:ext cx="3548061" cy="3929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214312</xdr:colOff>
      <xdr:row>114</xdr:row>
      <xdr:rowOff>35718</xdr:rowOff>
    </xdr:from>
    <xdr:to>
      <xdr:col>14</xdr:col>
      <xdr:colOff>357187</xdr:colOff>
      <xdr:row>116</xdr:row>
      <xdr:rowOff>71437</xdr:rowOff>
    </xdr:to>
    <xdr:cxnSp macro="">
      <xdr:nvCxnSpPr>
        <xdr:cNvPr id="60" name="Straight Arrow Connector 59">
          <a:extLst>
            <a:ext uri="{FF2B5EF4-FFF2-40B4-BE49-F238E27FC236}">
              <a16:creationId xmlns:a16="http://schemas.microsoft.com/office/drawing/2014/main" id="{00000000-0008-0000-0000-00003C000000}"/>
            </a:ext>
          </a:extLst>
        </xdr:cNvPr>
        <xdr:cNvCxnSpPr/>
      </xdr:nvCxnSpPr>
      <xdr:spPr>
        <a:xfrm flipH="1">
          <a:off x="6858000" y="22824281"/>
          <a:ext cx="750093" cy="4167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11907</xdr:colOff>
      <xdr:row>127</xdr:row>
      <xdr:rowOff>35719</xdr:rowOff>
    </xdr:from>
    <xdr:to>
      <xdr:col>21</xdr:col>
      <xdr:colOff>535782</xdr:colOff>
      <xdr:row>132</xdr:row>
      <xdr:rowOff>11907</xdr:rowOff>
    </xdr:to>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7870032" y="25300782"/>
          <a:ext cx="4167188" cy="928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An optional feed budget calculates the amount of supplement used per day and the cost of supplement.</a:t>
          </a:r>
          <a:r>
            <a:rPr lang="en-NZ" sz="1100" b="0" i="0" u="none" strike="noStrike" baseline="0">
              <a:solidFill>
                <a:schemeClr val="dk1"/>
              </a:solidFill>
              <a:effectLst/>
              <a:latin typeface="+mn-lt"/>
              <a:ea typeface="+mn-ea"/>
              <a:cs typeface="+mn-cs"/>
            </a:rPr>
            <a:t> </a:t>
          </a:r>
        </a:p>
        <a:p>
          <a:endParaRPr lang="en-NZ" sz="1100" b="0" i="0" u="none" strike="noStrike" baseline="0">
            <a:solidFill>
              <a:schemeClr val="dk1"/>
            </a:solidFill>
            <a:effectLst/>
            <a:latin typeface="+mn-lt"/>
            <a:ea typeface="+mn-ea"/>
            <a:cs typeface="+mn-cs"/>
          </a:endParaRPr>
        </a:p>
        <a:p>
          <a:r>
            <a:rPr lang="en-NZ" sz="1100" b="0" i="0" u="none" strike="noStrike" baseline="0">
              <a:solidFill>
                <a:schemeClr val="dk1"/>
              </a:solidFill>
              <a:effectLst/>
              <a:latin typeface="+mn-lt"/>
              <a:ea typeface="+mn-ea"/>
              <a:cs typeface="+mn-cs"/>
            </a:rPr>
            <a:t>It doesn't consider the return or benefits from the different feeding options.</a:t>
          </a:r>
          <a:endParaRPr lang="en-NZ" sz="1100"/>
        </a:p>
      </xdr:txBody>
    </xdr:sp>
    <xdr:clientData/>
  </xdr:twoCellAnchor>
  <xdr:twoCellAnchor>
    <xdr:from>
      <xdr:col>9</xdr:col>
      <xdr:colOff>107156</xdr:colOff>
      <xdr:row>129</xdr:row>
      <xdr:rowOff>107157</xdr:rowOff>
    </xdr:from>
    <xdr:to>
      <xdr:col>14</xdr:col>
      <xdr:colOff>500062</xdr:colOff>
      <xdr:row>129</xdr:row>
      <xdr:rowOff>166687</xdr:rowOff>
    </xdr:to>
    <xdr:cxnSp macro="">
      <xdr:nvCxnSpPr>
        <xdr:cNvPr id="65" name="Straight Arrow Connector 64">
          <a:extLst>
            <a:ext uri="{FF2B5EF4-FFF2-40B4-BE49-F238E27FC236}">
              <a16:creationId xmlns:a16="http://schemas.microsoft.com/office/drawing/2014/main" id="{00000000-0008-0000-0000-000041000000}"/>
            </a:ext>
          </a:extLst>
        </xdr:cNvPr>
        <xdr:cNvCxnSpPr/>
      </xdr:nvCxnSpPr>
      <xdr:spPr>
        <a:xfrm flipH="1">
          <a:off x="4321969" y="25753220"/>
          <a:ext cx="3428999" cy="595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144</xdr:row>
      <xdr:rowOff>0</xdr:rowOff>
    </xdr:from>
    <xdr:to>
      <xdr:col>21</xdr:col>
      <xdr:colOff>523875</xdr:colOff>
      <xdr:row>147</xdr:row>
      <xdr:rowOff>35719</xdr:rowOff>
    </xdr:to>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8298656" y="28396406"/>
          <a:ext cx="4167188" cy="607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A detailed breakdown of energy and composition is given for all selected feed types.</a:t>
          </a:r>
          <a:endParaRPr lang="en-NZ" sz="1100"/>
        </a:p>
      </xdr:txBody>
    </xdr:sp>
    <xdr:clientData/>
  </xdr:twoCellAnchor>
  <xdr:twoCellAnchor>
    <xdr:from>
      <xdr:col>12</xdr:col>
      <xdr:colOff>178594</xdr:colOff>
      <xdr:row>146</xdr:row>
      <xdr:rowOff>71438</xdr:rowOff>
    </xdr:from>
    <xdr:to>
      <xdr:col>14</xdr:col>
      <xdr:colOff>309563</xdr:colOff>
      <xdr:row>148</xdr:row>
      <xdr:rowOff>71438</xdr:rowOff>
    </xdr:to>
    <xdr:cxnSp macro="">
      <xdr:nvCxnSpPr>
        <xdr:cNvPr id="69" name="Straight Arrow Connector 68">
          <a:extLst>
            <a:ext uri="{FF2B5EF4-FFF2-40B4-BE49-F238E27FC236}">
              <a16:creationId xmlns:a16="http://schemas.microsoft.com/office/drawing/2014/main" id="{00000000-0008-0000-0000-000045000000}"/>
            </a:ext>
          </a:extLst>
        </xdr:cNvPr>
        <xdr:cNvCxnSpPr/>
      </xdr:nvCxnSpPr>
      <xdr:spPr>
        <a:xfrm flipH="1">
          <a:off x="6655594" y="28848844"/>
          <a:ext cx="1345407"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52388</xdr:colOff>
      <xdr:row>117</xdr:row>
      <xdr:rowOff>173831</xdr:rowOff>
    </xdr:from>
    <xdr:to>
      <xdr:col>14</xdr:col>
      <xdr:colOff>528638</xdr:colOff>
      <xdr:row>123</xdr:row>
      <xdr:rowOff>148496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
        <a:stretch>
          <a:fillRect/>
        </a:stretch>
      </xdr:blipFill>
      <xdr:spPr>
        <a:xfrm>
          <a:off x="4267201" y="23533894"/>
          <a:ext cx="3512343" cy="1117665"/>
        </a:xfrm>
        <a:prstGeom prst="rect">
          <a:avLst/>
        </a:prstGeom>
        <a:ln>
          <a:solidFill>
            <a:schemeClr val="bg1">
              <a:lumMod val="65000"/>
            </a:schemeClr>
          </a:solidFill>
        </a:ln>
      </xdr:spPr>
    </xdr:pic>
    <xdr:clientData/>
  </xdr:twoCellAnchor>
  <xdr:twoCellAnchor editAs="oneCell">
    <xdr:from>
      <xdr:col>1</xdr:col>
      <xdr:colOff>119062</xdr:colOff>
      <xdr:row>55</xdr:row>
      <xdr:rowOff>154780</xdr:rowOff>
    </xdr:from>
    <xdr:to>
      <xdr:col>14</xdr:col>
      <xdr:colOff>381000</xdr:colOff>
      <xdr:row>64</xdr:row>
      <xdr:rowOff>164546</xdr:rowOff>
    </xdr:to>
    <xdr:pic>
      <xdr:nvPicPr>
        <xdr:cNvPr id="14" name="Picture 13">
          <a:extLst>
            <a:ext uri="{FF2B5EF4-FFF2-40B4-BE49-F238E27FC236}">
              <a16:creationId xmlns:a16="http://schemas.microsoft.com/office/drawing/2014/main" id="{C92C29EA-E028-4A31-BF5B-6BACD5CDE770}"/>
            </a:ext>
          </a:extLst>
        </xdr:cNvPr>
        <xdr:cNvPicPr>
          <a:picLocks noChangeAspect="1"/>
        </xdr:cNvPicPr>
      </xdr:nvPicPr>
      <xdr:blipFill>
        <a:blip xmlns:r="http://schemas.openxmlformats.org/officeDocument/2006/relationships" r:embed="rId12"/>
        <a:stretch>
          <a:fillRect/>
        </a:stretch>
      </xdr:blipFill>
      <xdr:spPr>
        <a:xfrm>
          <a:off x="285750" y="11441905"/>
          <a:ext cx="7346156" cy="1724266"/>
        </a:xfrm>
        <a:prstGeom prst="rect">
          <a:avLst/>
        </a:prstGeom>
      </xdr:spPr>
    </xdr:pic>
    <xdr:clientData/>
  </xdr:twoCellAnchor>
  <xdr:twoCellAnchor>
    <xdr:from>
      <xdr:col>14</xdr:col>
      <xdr:colOff>583407</xdr:colOff>
      <xdr:row>42</xdr:row>
      <xdr:rowOff>166687</xdr:rowOff>
    </xdr:from>
    <xdr:to>
      <xdr:col>21</xdr:col>
      <xdr:colOff>500063</xdr:colOff>
      <xdr:row>45</xdr:row>
      <xdr:rowOff>71438</xdr:rowOff>
    </xdr:to>
    <xdr:sp macro="" textlink="">
      <xdr:nvSpPr>
        <xdr:cNvPr id="50" name="TextBox 49">
          <a:extLst>
            <a:ext uri="{FF2B5EF4-FFF2-40B4-BE49-F238E27FC236}">
              <a16:creationId xmlns:a16="http://schemas.microsoft.com/office/drawing/2014/main" id="{526F410E-A940-4201-A92A-EDC8CA01874B}"/>
            </a:ext>
          </a:extLst>
        </xdr:cNvPr>
        <xdr:cNvSpPr txBox="1"/>
      </xdr:nvSpPr>
      <xdr:spPr>
        <a:xfrm>
          <a:off x="7834313" y="8977312"/>
          <a:ext cx="4167188" cy="476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select</a:t>
          </a:r>
          <a:r>
            <a:rPr lang="en-NZ" sz="1100" b="0" i="0" u="none" strike="noStrike" baseline="0">
              <a:solidFill>
                <a:schemeClr val="dk1"/>
              </a:solidFill>
              <a:effectLst/>
              <a:latin typeface="+mn-lt"/>
              <a:ea typeface="+mn-ea"/>
              <a:cs typeface="+mn-cs"/>
            </a:rPr>
            <a:t> YES, this allows you to </a:t>
          </a:r>
          <a:r>
            <a:rPr lang="en-NZ" sz="1100" b="0" i="0" u="none" strike="noStrike">
              <a:solidFill>
                <a:schemeClr val="dk1"/>
              </a:solidFill>
              <a:effectLst/>
              <a:latin typeface="+mn-lt"/>
              <a:ea typeface="+mn-ea"/>
              <a:cs typeface="+mn-cs"/>
            </a:rPr>
            <a:t>enter crops. you can use default crop values or enter your own custom crops. </a:t>
          </a:r>
          <a:endParaRPr lang="en-NZ" sz="1100"/>
        </a:p>
      </xdr:txBody>
    </xdr:sp>
    <xdr:clientData/>
  </xdr:twoCellAnchor>
  <xdr:twoCellAnchor>
    <xdr:from>
      <xdr:col>14</xdr:col>
      <xdr:colOff>571500</xdr:colOff>
      <xdr:row>45</xdr:row>
      <xdr:rowOff>119062</xdr:rowOff>
    </xdr:from>
    <xdr:to>
      <xdr:col>21</xdr:col>
      <xdr:colOff>488156</xdr:colOff>
      <xdr:row>48</xdr:row>
      <xdr:rowOff>35719</xdr:rowOff>
    </xdr:to>
    <xdr:sp macro="" textlink="">
      <xdr:nvSpPr>
        <xdr:cNvPr id="53" name="TextBox 52">
          <a:extLst>
            <a:ext uri="{FF2B5EF4-FFF2-40B4-BE49-F238E27FC236}">
              <a16:creationId xmlns:a16="http://schemas.microsoft.com/office/drawing/2014/main" id="{D768DDA1-3D3B-4C29-ABD3-A9D5985B3078}"/>
            </a:ext>
          </a:extLst>
        </xdr:cNvPr>
        <xdr:cNvSpPr txBox="1"/>
      </xdr:nvSpPr>
      <xdr:spPr>
        <a:xfrm>
          <a:off x="7822406" y="9501187"/>
          <a:ext cx="4167188" cy="488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You have the option to calculate break size  by using crop yield, DM%, break face and allocation</a:t>
          </a:r>
          <a:r>
            <a:rPr lang="en-NZ" sz="1100" b="0" i="0" u="none" strike="noStrike" baseline="0">
              <a:solidFill>
                <a:schemeClr val="dk1"/>
              </a:solidFill>
              <a:effectLst/>
              <a:latin typeface="+mn-lt"/>
              <a:ea typeface="+mn-ea"/>
              <a:cs typeface="+mn-cs"/>
            </a:rPr>
            <a:t> required per cow per day.</a:t>
          </a:r>
          <a:r>
            <a:rPr lang="en-NZ"/>
            <a:t> </a:t>
          </a:r>
        </a:p>
      </xdr:txBody>
    </xdr:sp>
    <xdr:clientData/>
  </xdr:twoCellAnchor>
  <xdr:twoCellAnchor>
    <xdr:from>
      <xdr:col>8</xdr:col>
      <xdr:colOff>380999</xdr:colOff>
      <xdr:row>55</xdr:row>
      <xdr:rowOff>11907</xdr:rowOff>
    </xdr:from>
    <xdr:to>
      <xdr:col>14</xdr:col>
      <xdr:colOff>428626</xdr:colOff>
      <xdr:row>61</xdr:row>
      <xdr:rowOff>71437</xdr:rowOff>
    </xdr:to>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3988593" y="11299032"/>
          <a:ext cx="3690939" cy="12025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60</xdr:row>
      <xdr:rowOff>83344</xdr:rowOff>
    </xdr:from>
    <xdr:to>
      <xdr:col>14</xdr:col>
      <xdr:colOff>452437</xdr:colOff>
      <xdr:row>63</xdr:row>
      <xdr:rowOff>23812</xdr:rowOff>
    </xdr:to>
    <xdr:cxnSp macro="">
      <xdr:nvCxnSpPr>
        <xdr:cNvPr id="61" name="Straight Arrow Connector 60">
          <a:extLst>
            <a:ext uri="{FF2B5EF4-FFF2-40B4-BE49-F238E27FC236}">
              <a16:creationId xmlns:a16="http://schemas.microsoft.com/office/drawing/2014/main" id="{9352D0EC-96EC-41CE-86CA-E68987F525F9}"/>
            </a:ext>
          </a:extLst>
        </xdr:cNvPr>
        <xdr:cNvCxnSpPr/>
      </xdr:nvCxnSpPr>
      <xdr:spPr>
        <a:xfrm flipH="1">
          <a:off x="4179094" y="12322969"/>
          <a:ext cx="3524249" cy="5119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60</xdr:row>
      <xdr:rowOff>64413</xdr:rowOff>
    </xdr:from>
    <xdr:to>
      <xdr:col>14</xdr:col>
      <xdr:colOff>452437</xdr:colOff>
      <xdr:row>62</xdr:row>
      <xdr:rowOff>154781</xdr:rowOff>
    </xdr:to>
    <xdr:cxnSp macro="">
      <xdr:nvCxnSpPr>
        <xdr:cNvPr id="66" name="Straight Arrow Connector 65">
          <a:extLst>
            <a:ext uri="{FF2B5EF4-FFF2-40B4-BE49-F238E27FC236}">
              <a16:creationId xmlns:a16="http://schemas.microsoft.com/office/drawing/2014/main" id="{26E96C0C-6511-458F-AB39-8DDBF03F2B72}"/>
            </a:ext>
          </a:extLst>
        </xdr:cNvPr>
        <xdr:cNvCxnSpPr/>
      </xdr:nvCxnSpPr>
      <xdr:spPr>
        <a:xfrm flipH="1">
          <a:off x="2678906" y="12304038"/>
          <a:ext cx="5024437" cy="4713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123</xdr:row>
      <xdr:rowOff>59532</xdr:rowOff>
    </xdr:from>
    <xdr:to>
      <xdr:col>8</xdr:col>
      <xdr:colOff>459114</xdr:colOff>
      <xdr:row>136</xdr:row>
      <xdr:rowOff>144937</xdr:rowOff>
    </xdr:to>
    <xdr:grpSp>
      <xdr:nvGrpSpPr>
        <xdr:cNvPr id="15" name="Group 14">
          <a:extLst>
            <a:ext uri="{FF2B5EF4-FFF2-40B4-BE49-F238E27FC236}">
              <a16:creationId xmlns:a16="http://schemas.microsoft.com/office/drawing/2014/main" id="{F10A6388-1323-4136-92FC-F135AA3A2DF4}"/>
            </a:ext>
          </a:extLst>
        </xdr:cNvPr>
        <xdr:cNvGrpSpPr/>
      </xdr:nvGrpSpPr>
      <xdr:grpSpPr>
        <a:xfrm>
          <a:off x="342900" y="24538782"/>
          <a:ext cx="3754764" cy="2438080"/>
          <a:chOff x="333375" y="24562595"/>
          <a:chExt cx="3733333" cy="2561905"/>
        </a:xfrm>
      </xdr:grpSpPr>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3"/>
          <a:stretch>
            <a:fillRect/>
          </a:stretch>
        </xdr:blipFill>
        <xdr:spPr>
          <a:xfrm>
            <a:off x="333375" y="24562595"/>
            <a:ext cx="3733333" cy="2561905"/>
          </a:xfrm>
          <a:prstGeom prst="rect">
            <a:avLst/>
          </a:prstGeom>
          <a:ln>
            <a:solidFill>
              <a:schemeClr val="bg1">
                <a:lumMod val="65000"/>
              </a:schemeClr>
            </a:solidFill>
          </a:ln>
        </xdr:spPr>
      </xdr:pic>
      <xdr:pic>
        <xdr:nvPicPr>
          <xdr:cNvPr id="13" name="Picture 12">
            <a:extLst>
              <a:ext uri="{FF2B5EF4-FFF2-40B4-BE49-F238E27FC236}">
                <a16:creationId xmlns:a16="http://schemas.microsoft.com/office/drawing/2014/main" id="{EA314C60-D2C8-4461-B50C-A97322F00C69}"/>
              </a:ext>
            </a:extLst>
          </xdr:cNvPr>
          <xdr:cNvPicPr>
            <a:picLocks noChangeAspect="1"/>
          </xdr:cNvPicPr>
        </xdr:nvPicPr>
        <xdr:blipFill>
          <a:blip xmlns:r="http://schemas.openxmlformats.org/officeDocument/2006/relationships" r:embed="rId14"/>
          <a:stretch>
            <a:fillRect/>
          </a:stretch>
        </xdr:blipFill>
        <xdr:spPr>
          <a:xfrm>
            <a:off x="488156" y="25050751"/>
            <a:ext cx="1505160" cy="295316"/>
          </a:xfrm>
          <a:prstGeom prst="rect">
            <a:avLst/>
          </a:prstGeom>
        </xdr:spPr>
      </xdr:pic>
    </xdr:grpSp>
    <xdr:clientData/>
  </xdr:twoCellAnchor>
  <xdr:twoCellAnchor>
    <xdr:from>
      <xdr:col>2</xdr:col>
      <xdr:colOff>0</xdr:colOff>
      <xdr:row>138</xdr:row>
      <xdr:rowOff>47625</xdr:rowOff>
    </xdr:from>
    <xdr:to>
      <xdr:col>11</xdr:col>
      <xdr:colOff>513649</xdr:colOff>
      <xdr:row>153</xdr:row>
      <xdr:rowOff>85363</xdr:rowOff>
    </xdr:to>
    <xdr:grpSp>
      <xdr:nvGrpSpPr>
        <xdr:cNvPr id="20" name="Group 19">
          <a:extLst>
            <a:ext uri="{FF2B5EF4-FFF2-40B4-BE49-F238E27FC236}">
              <a16:creationId xmlns:a16="http://schemas.microsoft.com/office/drawing/2014/main" id="{54E5A5A3-DFF3-43DC-AF25-56ACE4EB8666}"/>
            </a:ext>
          </a:extLst>
        </xdr:cNvPr>
        <xdr:cNvGrpSpPr/>
      </xdr:nvGrpSpPr>
      <xdr:grpSpPr>
        <a:xfrm>
          <a:off x="342900" y="27241500"/>
          <a:ext cx="5638099" cy="2752363"/>
          <a:chOff x="333375" y="28122563"/>
          <a:chExt cx="5609524" cy="2895238"/>
        </a:xfrm>
      </xdr:grpSpPr>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5"/>
          <a:stretch>
            <a:fillRect/>
          </a:stretch>
        </xdr:blipFill>
        <xdr:spPr>
          <a:xfrm>
            <a:off x="333375" y="28122563"/>
            <a:ext cx="5609524" cy="2895238"/>
          </a:xfrm>
          <a:prstGeom prst="rect">
            <a:avLst/>
          </a:prstGeom>
        </xdr:spPr>
      </xdr:pic>
      <xdr:pic>
        <xdr:nvPicPr>
          <xdr:cNvPr id="17" name="Picture 16">
            <a:extLst>
              <a:ext uri="{FF2B5EF4-FFF2-40B4-BE49-F238E27FC236}">
                <a16:creationId xmlns:a16="http://schemas.microsoft.com/office/drawing/2014/main" id="{C2E88A30-2B17-40D3-85E7-0A354825927B}"/>
              </a:ext>
            </a:extLst>
          </xdr:cNvPr>
          <xdr:cNvPicPr>
            <a:picLocks noChangeAspect="1"/>
          </xdr:cNvPicPr>
        </xdr:nvPicPr>
        <xdr:blipFill>
          <a:blip xmlns:r="http://schemas.openxmlformats.org/officeDocument/2006/relationships" r:embed="rId16"/>
          <a:stretch>
            <a:fillRect/>
          </a:stretch>
        </xdr:blipFill>
        <xdr:spPr>
          <a:xfrm>
            <a:off x="428625" y="28241626"/>
            <a:ext cx="1905266" cy="333422"/>
          </a:xfrm>
          <a:prstGeom prst="rect">
            <a:avLst/>
          </a:prstGeom>
        </xdr:spPr>
      </xdr:pic>
    </xdr:grpSp>
    <xdr:clientData/>
  </xdr:twoCellAnchor>
  <xdr:twoCellAnchor editAs="oneCell">
    <xdr:from>
      <xdr:col>1</xdr:col>
      <xdr:colOff>71437</xdr:colOff>
      <xdr:row>44</xdr:row>
      <xdr:rowOff>107156</xdr:rowOff>
    </xdr:from>
    <xdr:to>
      <xdr:col>14</xdr:col>
      <xdr:colOff>273844</xdr:colOff>
      <xdr:row>53</xdr:row>
      <xdr:rowOff>141091</xdr:rowOff>
    </xdr:to>
    <xdr:pic>
      <xdr:nvPicPr>
        <xdr:cNvPr id="25" name="Picture 24">
          <a:extLst>
            <a:ext uri="{FF2B5EF4-FFF2-40B4-BE49-F238E27FC236}">
              <a16:creationId xmlns:a16="http://schemas.microsoft.com/office/drawing/2014/main" id="{72F41140-82C5-4FB8-9702-C5F9BCCB8133}"/>
            </a:ext>
          </a:extLst>
        </xdr:cNvPr>
        <xdr:cNvPicPr>
          <a:picLocks noChangeAspect="1"/>
        </xdr:cNvPicPr>
      </xdr:nvPicPr>
      <xdr:blipFill>
        <a:blip xmlns:r="http://schemas.openxmlformats.org/officeDocument/2006/relationships" r:embed="rId17"/>
        <a:stretch>
          <a:fillRect/>
        </a:stretch>
      </xdr:blipFill>
      <xdr:spPr>
        <a:xfrm>
          <a:off x="238125" y="9298781"/>
          <a:ext cx="7286625" cy="1748435"/>
        </a:xfrm>
        <a:prstGeom prst="rect">
          <a:avLst/>
        </a:prstGeom>
      </xdr:spPr>
    </xdr:pic>
    <xdr:clientData/>
  </xdr:twoCellAnchor>
  <xdr:twoCellAnchor>
    <xdr:from>
      <xdr:col>9</xdr:col>
      <xdr:colOff>357186</xdr:colOff>
      <xdr:row>44</xdr:row>
      <xdr:rowOff>23812</xdr:rowOff>
    </xdr:from>
    <xdr:to>
      <xdr:col>14</xdr:col>
      <xdr:colOff>488156</xdr:colOff>
      <xdr:row>45</xdr:row>
      <xdr:rowOff>1</xdr:rowOff>
    </xdr:to>
    <xdr:cxnSp macro="">
      <xdr:nvCxnSpPr>
        <xdr:cNvPr id="52" name="Straight Arrow Connector 51">
          <a:extLst>
            <a:ext uri="{FF2B5EF4-FFF2-40B4-BE49-F238E27FC236}">
              <a16:creationId xmlns:a16="http://schemas.microsoft.com/office/drawing/2014/main" id="{3D7CE1CF-0850-407F-B7BD-C2105349ED95}"/>
            </a:ext>
          </a:extLst>
        </xdr:cNvPr>
        <xdr:cNvCxnSpPr/>
      </xdr:nvCxnSpPr>
      <xdr:spPr>
        <a:xfrm flipH="1">
          <a:off x="4571999" y="9215437"/>
          <a:ext cx="3167063" cy="1666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46</xdr:row>
      <xdr:rowOff>154781</xdr:rowOff>
    </xdr:from>
    <xdr:to>
      <xdr:col>14</xdr:col>
      <xdr:colOff>392906</xdr:colOff>
      <xdr:row>47</xdr:row>
      <xdr:rowOff>35719</xdr:rowOff>
    </xdr:to>
    <xdr:cxnSp macro="">
      <xdr:nvCxnSpPr>
        <xdr:cNvPr id="54" name="Straight Arrow Connector 53">
          <a:extLst>
            <a:ext uri="{FF2B5EF4-FFF2-40B4-BE49-F238E27FC236}">
              <a16:creationId xmlns:a16="http://schemas.microsoft.com/office/drawing/2014/main" id="{4ED78A14-3DB0-441A-832B-247F32E80C15}"/>
            </a:ext>
          </a:extLst>
        </xdr:cNvPr>
        <xdr:cNvCxnSpPr/>
      </xdr:nvCxnSpPr>
      <xdr:spPr>
        <a:xfrm flipH="1">
          <a:off x="2797969" y="9727406"/>
          <a:ext cx="4845843" cy="7143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500063</xdr:colOff>
      <xdr:row>52</xdr:row>
      <xdr:rowOff>107156</xdr:rowOff>
    </xdr:from>
    <xdr:to>
      <xdr:col>14</xdr:col>
      <xdr:colOff>440531</xdr:colOff>
      <xdr:row>53</xdr:row>
      <xdr:rowOff>95250</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flipH="1">
          <a:off x="7143751" y="10822781"/>
          <a:ext cx="547686" cy="1785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547688</xdr:colOff>
      <xdr:row>48</xdr:row>
      <xdr:rowOff>23813</xdr:rowOff>
    </xdr:from>
    <xdr:to>
      <xdr:col>21</xdr:col>
      <xdr:colOff>464344</xdr:colOff>
      <xdr:row>50</xdr:row>
      <xdr:rowOff>130970</xdr:rowOff>
    </xdr:to>
    <xdr:sp macro="" textlink="">
      <xdr:nvSpPr>
        <xdr:cNvPr id="62" name="TextBox 61">
          <a:extLst>
            <a:ext uri="{FF2B5EF4-FFF2-40B4-BE49-F238E27FC236}">
              <a16:creationId xmlns:a16="http://schemas.microsoft.com/office/drawing/2014/main" id="{37E8401B-B162-4140-AF4B-DFF781F635A2}"/>
            </a:ext>
          </a:extLst>
        </xdr:cNvPr>
        <xdr:cNvSpPr txBox="1"/>
      </xdr:nvSpPr>
      <xdr:spPr>
        <a:xfrm>
          <a:off x="7798594" y="9977438"/>
          <a:ext cx="4167188" cy="488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0" i="0" u="none" strike="noStrike">
              <a:solidFill>
                <a:schemeClr val="dk1"/>
              </a:solidFill>
              <a:effectLst/>
              <a:latin typeface="+mn-lt"/>
              <a:ea typeface="+mn-ea"/>
              <a:cs typeface="+mn-cs"/>
            </a:rPr>
            <a:t>Optional: If you are feeding fodder beet you can select YES to use default or custom</a:t>
          </a:r>
          <a:r>
            <a:rPr lang="en-NZ" sz="1100" b="0" i="0" u="none" strike="noStrike" baseline="0">
              <a:solidFill>
                <a:schemeClr val="dk1"/>
              </a:solidFill>
              <a:effectLst/>
              <a:latin typeface="+mn-lt"/>
              <a:ea typeface="+mn-ea"/>
              <a:cs typeface="+mn-cs"/>
            </a:rPr>
            <a:t> options for bulb/leaf ratio and DM%</a:t>
          </a:r>
          <a:endParaRPr lang="en-NZ"/>
        </a:p>
      </xdr:txBody>
    </xdr:sp>
    <xdr:clientData/>
  </xdr:twoCellAnchor>
  <xdr:twoCellAnchor>
    <xdr:from>
      <xdr:col>13</xdr:col>
      <xdr:colOff>571500</xdr:colOff>
      <xdr:row>46</xdr:row>
      <xdr:rowOff>71437</xdr:rowOff>
    </xdr:from>
    <xdr:to>
      <xdr:col>14</xdr:col>
      <xdr:colOff>476250</xdr:colOff>
      <xdr:row>48</xdr:row>
      <xdr:rowOff>95250</xdr:rowOff>
    </xdr:to>
    <xdr:cxnSp macro="">
      <xdr:nvCxnSpPr>
        <xdr:cNvPr id="70" name="Straight Arrow Connector 69">
          <a:extLst>
            <a:ext uri="{FF2B5EF4-FFF2-40B4-BE49-F238E27FC236}">
              <a16:creationId xmlns:a16="http://schemas.microsoft.com/office/drawing/2014/main" id="{ACAE5F11-5C00-4DB1-9EAD-E5DA5AC16D24}"/>
            </a:ext>
          </a:extLst>
        </xdr:cNvPr>
        <xdr:cNvCxnSpPr/>
      </xdr:nvCxnSpPr>
      <xdr:spPr>
        <a:xfrm flipH="1" flipV="1">
          <a:off x="7215188" y="9644062"/>
          <a:ext cx="511968" cy="4048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581598</xdr:colOff>
      <xdr:row>4</xdr:row>
      <xdr:rowOff>64293</xdr:rowOff>
    </xdr:from>
    <xdr:to>
      <xdr:col>14</xdr:col>
      <xdr:colOff>502444</xdr:colOff>
      <xdr:row>12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32086"/>
        <a:stretch/>
      </xdr:blipFill>
      <xdr:spPr>
        <a:xfrm>
          <a:off x="7261004" y="838199"/>
          <a:ext cx="1742503" cy="1459707"/>
        </a:xfrm>
        <a:prstGeom prst="rect">
          <a:avLst/>
        </a:prstGeom>
      </xdr:spPr>
    </xdr:pic>
    <xdr:clientData/>
  </xdr:twoCellAnchor>
  <xdr:twoCellAnchor editAs="oneCell">
    <xdr:from>
      <xdr:col>12</xdr:col>
      <xdr:colOff>7145</xdr:colOff>
      <xdr:row>12</xdr:row>
      <xdr:rowOff>50267</xdr:rowOff>
    </xdr:from>
    <xdr:to>
      <xdr:col>14</xdr:col>
      <xdr:colOff>536144</xdr:colOff>
      <xdr:row>19</xdr:row>
      <xdr:rowOff>149678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14359"/>
        <a:stretch/>
      </xdr:blipFill>
      <xdr:spPr>
        <a:xfrm>
          <a:off x="7355002" y="2349874"/>
          <a:ext cx="1753642" cy="1432911"/>
        </a:xfrm>
        <a:prstGeom prst="rect">
          <a:avLst/>
        </a:prstGeom>
      </xdr:spPr>
    </xdr:pic>
    <xdr:clientData/>
  </xdr:twoCellAnchor>
  <xdr:twoCellAnchor editAs="oneCell">
    <xdr:from>
      <xdr:col>11</xdr:col>
      <xdr:colOff>538501</xdr:colOff>
      <xdr:row>21</xdr:row>
      <xdr:rowOff>88106</xdr:rowOff>
    </xdr:from>
    <xdr:to>
      <xdr:col>14</xdr:col>
      <xdr:colOff>559392</xdr:colOff>
      <xdr:row>26</xdr:row>
      <xdr:rowOff>154782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3687" t="9365" b="5944"/>
        <a:stretch/>
      </xdr:blipFill>
      <xdr:spPr>
        <a:xfrm>
          <a:off x="7274037" y="4102213"/>
          <a:ext cx="1857855" cy="1264104"/>
        </a:xfrm>
        <a:prstGeom prst="rect">
          <a:avLst/>
        </a:prstGeom>
      </xdr:spPr>
    </xdr:pic>
    <xdr:clientData/>
  </xdr:twoCellAnchor>
  <xdr:twoCellAnchor editAs="oneCell">
    <xdr:from>
      <xdr:col>0</xdr:col>
      <xdr:colOff>350838</xdr:colOff>
      <xdr:row>11</xdr:row>
      <xdr:rowOff>174004</xdr:rowOff>
    </xdr:from>
    <xdr:to>
      <xdr:col>4</xdr:col>
      <xdr:colOff>134938</xdr:colOff>
      <xdr:row>20</xdr:row>
      <xdr:rowOff>75228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50838" y="2281410"/>
          <a:ext cx="2212975" cy="1615724"/>
        </a:xfrm>
        <a:prstGeom prst="rect">
          <a:avLst/>
        </a:prstGeom>
      </xdr:spPr>
    </xdr:pic>
    <xdr:clientData/>
  </xdr:twoCellAnchor>
  <xdr:twoCellAnchor editAs="oneCell">
    <xdr:from>
      <xdr:col>4</xdr:col>
      <xdr:colOff>208417</xdr:colOff>
      <xdr:row>33</xdr:row>
      <xdr:rowOff>117510</xdr:rowOff>
    </xdr:from>
    <xdr:to>
      <xdr:col>8</xdr:col>
      <xdr:colOff>102053</xdr:colOff>
      <xdr:row>41</xdr:row>
      <xdr:rowOff>160475</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657703" y="6825831"/>
          <a:ext cx="2342921" cy="1566965"/>
        </a:xfrm>
        <a:prstGeom prst="rect">
          <a:avLst/>
        </a:prstGeom>
      </xdr:spPr>
    </xdr:pic>
    <xdr:clientData/>
  </xdr:twoCellAnchor>
  <xdr:twoCellAnchor editAs="oneCell">
    <xdr:from>
      <xdr:col>0</xdr:col>
      <xdr:colOff>435543</xdr:colOff>
      <xdr:row>33</xdr:row>
      <xdr:rowOff>94404</xdr:rowOff>
    </xdr:from>
    <xdr:to>
      <xdr:col>3</xdr:col>
      <xdr:colOff>103754</xdr:colOff>
      <xdr:row>41</xdr:row>
      <xdr:rowOff>176893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6"/>
        <a:srcRect t="4431" b="14938"/>
        <a:stretch/>
      </xdr:blipFill>
      <xdr:spPr>
        <a:xfrm>
          <a:off x="435543" y="6802725"/>
          <a:ext cx="1505175" cy="1606489"/>
        </a:xfrm>
        <a:prstGeom prst="rect">
          <a:avLst/>
        </a:prstGeom>
      </xdr:spPr>
    </xdr:pic>
    <xdr:clientData/>
  </xdr:twoCellAnchor>
  <xdr:twoCellAnchor editAs="oneCell">
    <xdr:from>
      <xdr:col>0</xdr:col>
      <xdr:colOff>369094</xdr:colOff>
      <xdr:row>4</xdr:row>
      <xdr:rowOff>11906</xdr:rowOff>
    </xdr:from>
    <xdr:to>
      <xdr:col>4</xdr:col>
      <xdr:colOff>118607</xdr:colOff>
      <xdr:row>11</xdr:row>
      <xdr:rowOff>119062</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7"/>
        <a:srcRect l="1" r="34284"/>
        <a:stretch/>
      </xdr:blipFill>
      <xdr:spPr>
        <a:xfrm>
          <a:off x="369094" y="785812"/>
          <a:ext cx="2178388" cy="1440656"/>
        </a:xfrm>
        <a:prstGeom prst="rect">
          <a:avLst/>
        </a:prstGeom>
      </xdr:spPr>
    </xdr:pic>
    <xdr:clientData/>
  </xdr:twoCellAnchor>
  <xdr:twoCellAnchor>
    <xdr:from>
      <xdr:col>4</xdr:col>
      <xdr:colOff>292894</xdr:colOff>
      <xdr:row>5</xdr:row>
      <xdr:rowOff>107155</xdr:rowOff>
    </xdr:from>
    <xdr:to>
      <xdr:col>10</xdr:col>
      <xdr:colOff>238124</xdr:colOff>
      <xdr:row>9</xdr:row>
      <xdr:rowOff>166686</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721769" y="1071561"/>
          <a:ext cx="3588543" cy="82153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GRAZING BEHAVIOUR</a:t>
          </a:r>
        </a:p>
        <a:p>
          <a:r>
            <a:rPr lang="en-NZ" sz="1400"/>
            <a:t>How</a:t>
          </a:r>
          <a:r>
            <a:rPr lang="en-NZ" sz="1400" baseline="0"/>
            <a:t> long have they been grazing?</a:t>
          </a:r>
        </a:p>
        <a:p>
          <a:r>
            <a:rPr lang="en-NZ" sz="1400" baseline="0"/>
            <a:t>How much is left in the paddock?</a:t>
          </a:r>
          <a:endParaRPr lang="en-NZ" sz="1400"/>
        </a:p>
      </xdr:txBody>
    </xdr:sp>
    <xdr:clientData/>
  </xdr:twoCellAnchor>
  <xdr:twoCellAnchor>
    <xdr:from>
      <xdr:col>4</xdr:col>
      <xdr:colOff>288132</xdr:colOff>
      <xdr:row>14</xdr:row>
      <xdr:rowOff>110859</xdr:rowOff>
    </xdr:from>
    <xdr:to>
      <xdr:col>10</xdr:col>
      <xdr:colOff>273843</xdr:colOff>
      <xdr:row>18</xdr:row>
      <xdr:rowOff>119062</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2717007" y="2789765"/>
          <a:ext cx="3629024" cy="77020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BODY</a:t>
          </a:r>
          <a:r>
            <a:rPr lang="en-NZ" sz="1400" baseline="0"/>
            <a:t> CONDITION SCORE</a:t>
          </a:r>
        </a:p>
        <a:p>
          <a:r>
            <a:rPr lang="en-NZ" sz="1400"/>
            <a:t>How</a:t>
          </a:r>
          <a:r>
            <a:rPr lang="en-NZ" sz="1400" baseline="0"/>
            <a:t> does the herd BCS compare with stage of lactation?</a:t>
          </a:r>
          <a:endParaRPr lang="en-NZ" sz="1400"/>
        </a:p>
      </xdr:txBody>
    </xdr:sp>
    <xdr:clientData/>
  </xdr:twoCellAnchor>
  <xdr:twoCellAnchor>
    <xdr:from>
      <xdr:col>15</xdr:col>
      <xdr:colOff>64294</xdr:colOff>
      <xdr:row>4</xdr:row>
      <xdr:rowOff>95250</xdr:rowOff>
    </xdr:from>
    <xdr:to>
      <xdr:col>21</xdr:col>
      <xdr:colOff>517071</xdr:colOff>
      <xdr:row>8</xdr:row>
      <xdr:rowOff>142875</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9249115" y="1034143"/>
          <a:ext cx="4126706" cy="80962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PRE-GRAZING</a:t>
          </a:r>
        </a:p>
        <a:p>
          <a:r>
            <a:rPr lang="en-NZ" sz="1400"/>
            <a:t>Does the next paddock to</a:t>
          </a:r>
          <a:r>
            <a:rPr lang="en-NZ" sz="1400" baseline="0"/>
            <a:t> be grazed represent the pre-grazing cover used?</a:t>
          </a:r>
          <a:endParaRPr lang="en-NZ" sz="1400"/>
        </a:p>
      </xdr:txBody>
    </xdr:sp>
    <xdr:clientData/>
  </xdr:twoCellAnchor>
  <xdr:twoCellAnchor>
    <xdr:from>
      <xdr:col>15</xdr:col>
      <xdr:colOff>137772</xdr:colOff>
      <xdr:row>13</xdr:row>
      <xdr:rowOff>61572</xdr:rowOff>
    </xdr:from>
    <xdr:to>
      <xdr:col>21</xdr:col>
      <xdr:colOff>489857</xdr:colOff>
      <xdr:row>17</xdr:row>
      <xdr:rowOff>102054</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9322593" y="2714965"/>
          <a:ext cx="4026014" cy="80248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POST-GRAZING</a:t>
          </a:r>
        </a:p>
        <a:p>
          <a:r>
            <a:rPr lang="en-NZ" sz="1400"/>
            <a:t>Does the residual </a:t>
          </a:r>
          <a:r>
            <a:rPr lang="en-NZ" sz="1400" baseline="0"/>
            <a:t>represent the post-grazing cover used?</a:t>
          </a:r>
          <a:endParaRPr lang="en-NZ" sz="1400"/>
        </a:p>
      </xdr:txBody>
    </xdr:sp>
    <xdr:clientData/>
  </xdr:twoCellAnchor>
  <xdr:twoCellAnchor>
    <xdr:from>
      <xdr:col>15</xdr:col>
      <xdr:colOff>152742</xdr:colOff>
      <xdr:row>23</xdr:row>
      <xdr:rowOff>20410</xdr:rowOff>
    </xdr:from>
    <xdr:to>
      <xdr:col>21</xdr:col>
      <xdr:colOff>489857</xdr:colOff>
      <xdr:row>25</xdr:row>
      <xdr:rowOff>156481</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9337563" y="4578803"/>
          <a:ext cx="4011044" cy="76199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BREAK SIZE</a:t>
          </a:r>
        </a:p>
        <a:p>
          <a:r>
            <a:rPr lang="en-NZ" sz="1400"/>
            <a:t>Does the current break size represent the area grazed per day?</a:t>
          </a:r>
        </a:p>
      </xdr:txBody>
    </xdr:sp>
    <xdr:clientData/>
  </xdr:twoCellAnchor>
  <xdr:twoCellAnchor>
    <xdr:from>
      <xdr:col>0</xdr:col>
      <xdr:colOff>396307</xdr:colOff>
      <xdr:row>42</xdr:row>
      <xdr:rowOff>185209</xdr:rowOff>
    </xdr:from>
    <xdr:to>
      <xdr:col>8</xdr:col>
      <xdr:colOff>99973</xdr:colOff>
      <xdr:row>47</xdr:row>
      <xdr:rowOff>11906</xdr:rowOff>
    </xdr:to>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96307" y="8608030"/>
          <a:ext cx="4602237"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UTILISATION</a:t>
          </a:r>
        </a:p>
        <a:p>
          <a:r>
            <a:rPr lang="en-NZ" sz="1400"/>
            <a:t>Look for evidence of feed left in the paddock/feedpad</a:t>
          </a:r>
        </a:p>
        <a:p>
          <a:r>
            <a:rPr lang="en-NZ" sz="1400"/>
            <a:t>i.e.</a:t>
          </a:r>
          <a:r>
            <a:rPr lang="en-NZ" sz="1400" baseline="0"/>
            <a:t> offered but not eaten</a:t>
          </a:r>
          <a:endParaRPr lang="en-NZ" sz="1400"/>
        </a:p>
      </xdr:txBody>
    </xdr:sp>
    <xdr:clientData/>
  </xdr:twoCellAnchor>
  <xdr:twoCellAnchor>
    <xdr:from>
      <xdr:col>4</xdr:col>
      <xdr:colOff>339989</xdr:colOff>
      <xdr:row>22</xdr:row>
      <xdr:rowOff>107155</xdr:rowOff>
    </xdr:from>
    <xdr:to>
      <xdr:col>10</xdr:col>
      <xdr:colOff>238124</xdr:colOff>
      <xdr:row>25</xdr:row>
      <xdr:rowOff>142874</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2768864" y="4310061"/>
          <a:ext cx="3541448" cy="84534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ANIMAL HEALTH STATUS</a:t>
          </a:r>
        </a:p>
        <a:p>
          <a:r>
            <a:rPr lang="en-NZ" sz="1400"/>
            <a:t>Are there any indicators of metabolic issues e.g. acidosis, ketosis?</a:t>
          </a:r>
        </a:p>
      </xdr:txBody>
    </xdr:sp>
    <xdr:clientData/>
  </xdr:twoCellAnchor>
  <xdr:twoCellAnchor editAs="oneCell">
    <xdr:from>
      <xdr:col>1</xdr:col>
      <xdr:colOff>78241</xdr:colOff>
      <xdr:row>21</xdr:row>
      <xdr:rowOff>61042</xdr:rowOff>
    </xdr:from>
    <xdr:to>
      <xdr:col>3</xdr:col>
      <xdr:colOff>464344</xdr:colOff>
      <xdr:row>27</xdr:row>
      <xdr:rowOff>93310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8"/>
        <a:srcRect t="10207" b="7532"/>
        <a:stretch/>
      </xdr:blipFill>
      <xdr:spPr>
        <a:xfrm>
          <a:off x="690562" y="4238435"/>
          <a:ext cx="1610746" cy="1420196"/>
        </a:xfrm>
        <a:prstGeom prst="rect">
          <a:avLst/>
        </a:prstGeom>
      </xdr:spPr>
    </xdr:pic>
    <xdr:clientData/>
  </xdr:twoCellAnchor>
  <xdr:twoCellAnchor>
    <xdr:from>
      <xdr:col>0</xdr:col>
      <xdr:colOff>319769</xdr:colOff>
      <xdr:row>1</xdr:row>
      <xdr:rowOff>47059</xdr:rowOff>
    </xdr:from>
    <xdr:to>
      <xdr:col>10</xdr:col>
      <xdr:colOff>212611</xdr:colOff>
      <xdr:row>2</xdr:row>
      <xdr:rowOff>381946</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319769" y="237559"/>
          <a:ext cx="6016056" cy="457351"/>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COWS</a:t>
          </a:r>
        </a:p>
      </xdr:txBody>
    </xdr:sp>
    <xdr:clientData/>
  </xdr:twoCellAnchor>
  <xdr:twoCellAnchor>
    <xdr:from>
      <xdr:col>11</xdr:col>
      <xdr:colOff>598713</xdr:colOff>
      <xdr:row>1</xdr:row>
      <xdr:rowOff>21168</xdr:rowOff>
    </xdr:from>
    <xdr:to>
      <xdr:col>21</xdr:col>
      <xdr:colOff>489858</xdr:colOff>
      <xdr:row>2</xdr:row>
      <xdr:rowOff>367394</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7334249" y="211668"/>
          <a:ext cx="6014359" cy="468690"/>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PADDOCK</a:t>
          </a:r>
        </a:p>
      </xdr:txBody>
    </xdr:sp>
    <xdr:clientData/>
  </xdr:twoCellAnchor>
  <xdr:twoCellAnchor>
    <xdr:from>
      <xdr:col>0</xdr:col>
      <xdr:colOff>449036</xdr:colOff>
      <xdr:row>29</xdr:row>
      <xdr:rowOff>95251</xdr:rowOff>
    </xdr:from>
    <xdr:to>
      <xdr:col>21</xdr:col>
      <xdr:colOff>449036</xdr:colOff>
      <xdr:row>32</xdr:row>
      <xdr:rowOff>1</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449036" y="6041572"/>
          <a:ext cx="12858750" cy="476250"/>
        </a:xfrm>
        <a:prstGeom prst="rect">
          <a:avLst/>
        </a:prstGeom>
        <a:solidFill>
          <a:srgbClr val="A5D87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2600" b="1"/>
            <a:t>SUPPLEMENT</a:t>
          </a:r>
        </a:p>
      </xdr:txBody>
    </xdr:sp>
    <xdr:clientData/>
  </xdr:twoCellAnchor>
  <xdr:twoCellAnchor editAs="oneCell">
    <xdr:from>
      <xdr:col>9</xdr:col>
      <xdr:colOff>585107</xdr:colOff>
      <xdr:row>33</xdr:row>
      <xdr:rowOff>139474</xdr:rowOff>
    </xdr:from>
    <xdr:to>
      <xdr:col>14</xdr:col>
      <xdr:colOff>258536</xdr:colOff>
      <xdr:row>41</xdr:row>
      <xdr:rowOff>181774</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9"/>
        <a:stretch>
          <a:fillRect/>
        </a:stretch>
      </xdr:blipFill>
      <xdr:spPr>
        <a:xfrm>
          <a:off x="6096000" y="6847795"/>
          <a:ext cx="2735036" cy="1566300"/>
        </a:xfrm>
        <a:prstGeom prst="rect">
          <a:avLst/>
        </a:prstGeom>
      </xdr:spPr>
    </xdr:pic>
    <xdr:clientData/>
  </xdr:twoCellAnchor>
  <xdr:twoCellAnchor>
    <xdr:from>
      <xdr:col>9</xdr:col>
      <xdr:colOff>76541</xdr:colOff>
      <xdr:row>43</xdr:row>
      <xdr:rowOff>10206</xdr:rowOff>
    </xdr:from>
    <xdr:to>
      <xdr:col>14</xdr:col>
      <xdr:colOff>540883</xdr:colOff>
      <xdr:row>47</xdr:row>
      <xdr:rowOff>27403</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5587434" y="8623527"/>
          <a:ext cx="3525949"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STORAGE</a:t>
          </a:r>
        </a:p>
        <a:p>
          <a:r>
            <a:rPr lang="en-NZ" sz="1400"/>
            <a:t>Management of feed can impact on quality and palatility</a:t>
          </a:r>
        </a:p>
        <a:p>
          <a:endParaRPr lang="en-NZ" sz="1400"/>
        </a:p>
      </xdr:txBody>
    </xdr:sp>
    <xdr:clientData/>
  </xdr:twoCellAnchor>
  <xdr:twoCellAnchor editAs="oneCell">
    <xdr:from>
      <xdr:col>16</xdr:col>
      <xdr:colOff>195603</xdr:colOff>
      <xdr:row>33</xdr:row>
      <xdr:rowOff>85044</xdr:rowOff>
    </xdr:from>
    <xdr:to>
      <xdr:col>20</xdr:col>
      <xdr:colOff>255948</xdr:colOff>
      <xdr:row>41</xdr:row>
      <xdr:rowOff>132669</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0"/>
        <a:stretch>
          <a:fillRect/>
        </a:stretch>
      </xdr:blipFill>
      <xdr:spPr>
        <a:xfrm>
          <a:off x="9992746" y="6793365"/>
          <a:ext cx="2509631" cy="1571625"/>
        </a:xfrm>
        <a:prstGeom prst="rect">
          <a:avLst/>
        </a:prstGeom>
      </xdr:spPr>
    </xdr:pic>
    <xdr:clientData/>
  </xdr:twoCellAnchor>
  <xdr:twoCellAnchor>
    <xdr:from>
      <xdr:col>15</xdr:col>
      <xdr:colOff>265338</xdr:colOff>
      <xdr:row>42</xdr:row>
      <xdr:rowOff>181996</xdr:rowOff>
    </xdr:from>
    <xdr:to>
      <xdr:col>21</xdr:col>
      <xdr:colOff>557892</xdr:colOff>
      <xdr:row>47</xdr:row>
      <xdr:rowOff>8693</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9450159" y="8604817"/>
          <a:ext cx="3966483" cy="77919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QUALITY</a:t>
          </a:r>
        </a:p>
        <a:p>
          <a:r>
            <a:rPr lang="en-NZ" sz="1400"/>
            <a:t>Original feed source processing i.e. chop length,</a:t>
          </a:r>
          <a:r>
            <a:rPr lang="en-NZ" sz="1400" baseline="0"/>
            <a:t> ensiling, crushing, storage</a:t>
          </a:r>
          <a:endParaRPr lang="en-NZ" sz="1400"/>
        </a:p>
        <a:p>
          <a:endParaRPr lang="en-NZ"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9525</xdr:rowOff>
    </xdr:from>
    <xdr:to>
      <xdr:col>4</xdr:col>
      <xdr:colOff>609181</xdr:colOff>
      <xdr:row>23</xdr:row>
      <xdr:rowOff>56621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9550" y="200025"/>
          <a:ext cx="3352381" cy="4238096"/>
        </a:xfrm>
        <a:prstGeom prst="rect">
          <a:avLst/>
        </a:prstGeom>
      </xdr:spPr>
    </xdr:pic>
    <xdr:clientData/>
  </xdr:twoCellAnchor>
  <xdr:twoCellAnchor editAs="oneCell">
    <xdr:from>
      <xdr:col>5</xdr:col>
      <xdr:colOff>600075</xdr:colOff>
      <xdr:row>1</xdr:row>
      <xdr:rowOff>9525</xdr:rowOff>
    </xdr:from>
    <xdr:to>
      <xdr:col>14</xdr:col>
      <xdr:colOff>18437</xdr:colOff>
      <xdr:row>33</xdr:row>
      <xdr:rowOff>75430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162425" y="200025"/>
          <a:ext cx="4904762" cy="6161905"/>
        </a:xfrm>
        <a:prstGeom prst="rect">
          <a:avLst/>
        </a:prstGeom>
      </xdr:spPr>
    </xdr:pic>
    <xdr:clientData/>
  </xdr:twoCellAnchor>
  <xdr:twoCellAnchor editAs="oneCell">
    <xdr:from>
      <xdr:col>14</xdr:col>
      <xdr:colOff>597694</xdr:colOff>
      <xdr:row>1</xdr:row>
      <xdr:rowOff>0</xdr:rowOff>
    </xdr:from>
    <xdr:to>
      <xdr:col>23</xdr:col>
      <xdr:colOff>35104</xdr:colOff>
      <xdr:row>20</xdr:row>
      <xdr:rowOff>9072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646444" y="190500"/>
          <a:ext cx="4923810" cy="36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428625</xdr:colOff>
      <xdr:row>5</xdr:row>
      <xdr:rowOff>9525</xdr:rowOff>
    </xdr:from>
    <xdr:to>
      <xdr:col>3</xdr:col>
      <xdr:colOff>523875</xdr:colOff>
      <xdr:row>8</xdr:row>
      <xdr:rowOff>19050</xdr:rowOff>
    </xdr:to>
    <xdr:sp macro="" textlink="">
      <xdr:nvSpPr>
        <xdr:cNvPr id="2" name="Rectangle: Rounded Corners 1">
          <a:extLst>
            <a:ext uri="{FF2B5EF4-FFF2-40B4-BE49-F238E27FC236}">
              <a16:creationId xmlns:a16="http://schemas.microsoft.com/office/drawing/2014/main" id="{00000000-0008-0000-0D00-000002000000}"/>
            </a:ext>
          </a:extLst>
        </xdr:cNvPr>
        <xdr:cNvSpPr/>
      </xdr:nvSpPr>
      <xdr:spPr>
        <a:xfrm>
          <a:off x="590550" y="3190875"/>
          <a:ext cx="1314450" cy="581025"/>
        </a:xfrm>
        <a:prstGeom prst="roundRect">
          <a:avLst/>
        </a:prstGeom>
        <a:solidFill>
          <a:schemeClr val="accent3"/>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ASK</a:t>
          </a:r>
        </a:p>
      </xdr:txBody>
    </xdr:sp>
    <xdr:clientData/>
  </xdr:twoCellAnchor>
  <xdr:twoCellAnchor>
    <xdr:from>
      <xdr:col>4</xdr:col>
      <xdr:colOff>95251</xdr:colOff>
      <xdr:row>5</xdr:row>
      <xdr:rowOff>19050</xdr:rowOff>
    </xdr:from>
    <xdr:to>
      <xdr:col>21</xdr:col>
      <xdr:colOff>345281</xdr:colOff>
      <xdr:row>8</xdr:row>
      <xdr:rowOff>38100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2085976" y="3200400"/>
          <a:ext cx="8784430"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Ask and enter information describing the farm situation.</a:t>
          </a:r>
        </a:p>
      </xdr:txBody>
    </xdr:sp>
    <xdr:clientData/>
  </xdr:twoCellAnchor>
  <xdr:twoCellAnchor>
    <xdr:from>
      <xdr:col>2</xdr:col>
      <xdr:colOff>133349</xdr:colOff>
      <xdr:row>9</xdr:row>
      <xdr:rowOff>38100</xdr:rowOff>
    </xdr:from>
    <xdr:to>
      <xdr:col>4</xdr:col>
      <xdr:colOff>295275</xdr:colOff>
      <xdr:row>12</xdr:row>
      <xdr:rowOff>47625</xdr:rowOff>
    </xdr:to>
    <xdr:sp macro="" textlink="">
      <xdr:nvSpPr>
        <xdr:cNvPr id="4" name="Rectangle: Rounded Corners 3">
          <a:extLst>
            <a:ext uri="{FF2B5EF4-FFF2-40B4-BE49-F238E27FC236}">
              <a16:creationId xmlns:a16="http://schemas.microsoft.com/office/drawing/2014/main" id="{00000000-0008-0000-0D00-000004000000}"/>
            </a:ext>
          </a:extLst>
        </xdr:cNvPr>
        <xdr:cNvSpPr/>
      </xdr:nvSpPr>
      <xdr:spPr>
        <a:xfrm>
          <a:off x="904874" y="3981450"/>
          <a:ext cx="1381126" cy="581025"/>
        </a:xfrm>
        <a:prstGeom prst="roundRect">
          <a:avLst/>
        </a:prstGeom>
        <a:solidFill>
          <a:schemeClr val="accent1">
            <a:lumMod val="60000"/>
            <a:lumOff val="4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OBSERVE</a:t>
          </a:r>
        </a:p>
      </xdr:txBody>
    </xdr:sp>
    <xdr:clientData/>
  </xdr:twoCellAnchor>
  <xdr:twoCellAnchor>
    <xdr:from>
      <xdr:col>4</xdr:col>
      <xdr:colOff>542926</xdr:colOff>
      <xdr:row>9</xdr:row>
      <xdr:rowOff>38100</xdr:rowOff>
    </xdr:from>
    <xdr:to>
      <xdr:col>21</xdr:col>
      <xdr:colOff>345281</xdr:colOff>
      <xdr:row>12</xdr:row>
      <xdr:rowOff>57150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2533651" y="3981450"/>
          <a:ext cx="833675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Check what</a:t>
          </a:r>
          <a:r>
            <a:rPr lang="en-NZ" sz="1400" baseline="0"/>
            <a:t> you hear with what you see. Do the numbers represent the reality?</a:t>
          </a:r>
          <a:endParaRPr lang="en-NZ" sz="1400"/>
        </a:p>
      </xdr:txBody>
    </xdr:sp>
    <xdr:clientData/>
  </xdr:twoCellAnchor>
  <xdr:twoCellAnchor>
    <xdr:from>
      <xdr:col>2</xdr:col>
      <xdr:colOff>514350</xdr:colOff>
      <xdr:row>13</xdr:row>
      <xdr:rowOff>38100</xdr:rowOff>
    </xdr:from>
    <xdr:to>
      <xdr:col>5</xdr:col>
      <xdr:colOff>9525</xdr:colOff>
      <xdr:row>16</xdr:row>
      <xdr:rowOff>47625</xdr:rowOff>
    </xdr:to>
    <xdr:sp macro="" textlink="">
      <xdr:nvSpPr>
        <xdr:cNvPr id="6" name="Rectangle: Rounded Corners 5">
          <a:extLst>
            <a:ext uri="{FF2B5EF4-FFF2-40B4-BE49-F238E27FC236}">
              <a16:creationId xmlns:a16="http://schemas.microsoft.com/office/drawing/2014/main" id="{00000000-0008-0000-0D00-000006000000}"/>
            </a:ext>
          </a:extLst>
        </xdr:cNvPr>
        <xdr:cNvSpPr/>
      </xdr:nvSpPr>
      <xdr:spPr>
        <a:xfrm>
          <a:off x="1285875" y="4743450"/>
          <a:ext cx="1323975" cy="581025"/>
        </a:xfrm>
        <a:prstGeom prst="roundRect">
          <a:avLst/>
        </a:prstGeom>
        <a:solidFill>
          <a:srgbClr val="F57B17"/>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ASSESS</a:t>
          </a:r>
        </a:p>
      </xdr:txBody>
    </xdr:sp>
    <xdr:clientData/>
  </xdr:twoCellAnchor>
  <xdr:twoCellAnchor>
    <xdr:from>
      <xdr:col>5</xdr:col>
      <xdr:colOff>257176</xdr:colOff>
      <xdr:row>13</xdr:row>
      <xdr:rowOff>38100</xdr:rowOff>
    </xdr:from>
    <xdr:to>
      <xdr:col>21</xdr:col>
      <xdr:colOff>321469</xdr:colOff>
      <xdr:row>16</xdr:row>
      <xdr:rowOff>57150</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857501" y="4743450"/>
          <a:ext cx="7989093"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NZ" sz="1400">
              <a:solidFill>
                <a:schemeClr val="dk1"/>
              </a:solidFill>
              <a:latin typeface="+mn-lt"/>
              <a:ea typeface="+mn-ea"/>
              <a:cs typeface="+mn-cs"/>
            </a:rPr>
            <a:t>Calculate animal dietary requirements and compare with current supply for each mob.</a:t>
          </a:r>
        </a:p>
        <a:p>
          <a:pPr marL="0" indent="0"/>
          <a:r>
            <a:rPr lang="en-NZ" sz="1400">
              <a:solidFill>
                <a:schemeClr val="dk1"/>
              </a:solidFill>
              <a:latin typeface="+mn-lt"/>
              <a:ea typeface="+mn-ea"/>
              <a:cs typeface="+mn-cs"/>
            </a:rPr>
            <a:t>Do they balance? If not, what is limiting or in excess</a:t>
          </a:r>
          <a:r>
            <a:rPr lang="en-NZ" sz="1400" baseline="0">
              <a:solidFill>
                <a:schemeClr val="dk1"/>
              </a:solidFill>
              <a:effectLst/>
              <a:latin typeface="+mn-lt"/>
              <a:ea typeface="+mn-ea"/>
              <a:cs typeface="+mn-cs"/>
            </a:rPr>
            <a:t>?</a:t>
          </a:r>
          <a:endParaRPr lang="en-NZ" sz="1400">
            <a:effectLst/>
          </a:endParaRPr>
        </a:p>
        <a:p>
          <a:endParaRPr lang="en-NZ" sz="1600"/>
        </a:p>
      </xdr:txBody>
    </xdr:sp>
    <xdr:clientData/>
  </xdr:twoCellAnchor>
  <xdr:twoCellAnchor>
    <xdr:from>
      <xdr:col>3</xdr:col>
      <xdr:colOff>276225</xdr:colOff>
      <xdr:row>17</xdr:row>
      <xdr:rowOff>38100</xdr:rowOff>
    </xdr:from>
    <xdr:to>
      <xdr:col>5</xdr:col>
      <xdr:colOff>381000</xdr:colOff>
      <xdr:row>20</xdr:row>
      <xdr:rowOff>47625</xdr:rowOff>
    </xdr:to>
    <xdr:sp macro="" textlink="">
      <xdr:nvSpPr>
        <xdr:cNvPr id="8" name="Rectangle: Rounded Corners 7">
          <a:extLst>
            <a:ext uri="{FF2B5EF4-FFF2-40B4-BE49-F238E27FC236}">
              <a16:creationId xmlns:a16="http://schemas.microsoft.com/office/drawing/2014/main" id="{00000000-0008-0000-0D00-000008000000}"/>
            </a:ext>
          </a:extLst>
        </xdr:cNvPr>
        <xdr:cNvSpPr/>
      </xdr:nvSpPr>
      <xdr:spPr>
        <a:xfrm>
          <a:off x="1657350" y="5505450"/>
          <a:ext cx="1323975" cy="581025"/>
        </a:xfrm>
        <a:prstGeom prst="roundRect">
          <a:avLst/>
        </a:prstGeom>
        <a:solidFill>
          <a:schemeClr val="accent4">
            <a:lumMod val="60000"/>
            <a:lumOff val="4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COMPARE</a:t>
          </a:r>
        </a:p>
      </xdr:txBody>
    </xdr:sp>
    <xdr:clientData/>
  </xdr:twoCellAnchor>
  <xdr:twoCellAnchor>
    <xdr:from>
      <xdr:col>5</xdr:col>
      <xdr:colOff>590551</xdr:colOff>
      <xdr:row>17</xdr:row>
      <xdr:rowOff>28575</xdr:rowOff>
    </xdr:from>
    <xdr:to>
      <xdr:col>21</xdr:col>
      <xdr:colOff>333376</xdr:colOff>
      <xdr:row>20</xdr:row>
      <xdr:rowOff>47625</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3190876" y="5495925"/>
          <a:ext cx="766762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Explore alternatives to achieve the desired result and compare the feed costs.</a:t>
          </a:r>
        </a:p>
      </xdr:txBody>
    </xdr:sp>
    <xdr:clientData/>
  </xdr:twoCellAnchor>
  <xdr:twoCellAnchor>
    <xdr:from>
      <xdr:col>4</xdr:col>
      <xdr:colOff>19050</xdr:colOff>
      <xdr:row>21</xdr:row>
      <xdr:rowOff>66675</xdr:rowOff>
    </xdr:from>
    <xdr:to>
      <xdr:col>6</xdr:col>
      <xdr:colOff>123825</xdr:colOff>
      <xdr:row>24</xdr:row>
      <xdr:rowOff>76200</xdr:rowOff>
    </xdr:to>
    <xdr:sp macro="" textlink="">
      <xdr:nvSpPr>
        <xdr:cNvPr id="10" name="Rectangle: Rounded Corners 9">
          <a:extLst>
            <a:ext uri="{FF2B5EF4-FFF2-40B4-BE49-F238E27FC236}">
              <a16:creationId xmlns:a16="http://schemas.microsoft.com/office/drawing/2014/main" id="{00000000-0008-0000-0D00-00000A000000}"/>
            </a:ext>
          </a:extLst>
        </xdr:cNvPr>
        <xdr:cNvSpPr/>
      </xdr:nvSpPr>
      <xdr:spPr>
        <a:xfrm>
          <a:off x="2009775" y="6296025"/>
          <a:ext cx="1323975" cy="581025"/>
        </a:xfrm>
        <a:prstGeom prst="roundRect">
          <a:avLst/>
        </a:prstGeom>
        <a:solidFill>
          <a:schemeClr val="bg2">
            <a:lumMod val="5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SUMMARISE</a:t>
          </a:r>
        </a:p>
      </xdr:txBody>
    </xdr:sp>
    <xdr:clientData/>
  </xdr:twoCellAnchor>
  <xdr:twoCellAnchor>
    <xdr:from>
      <xdr:col>6</xdr:col>
      <xdr:colOff>361951</xdr:colOff>
      <xdr:row>21</xdr:row>
      <xdr:rowOff>47625</xdr:rowOff>
    </xdr:from>
    <xdr:to>
      <xdr:col>21</xdr:col>
      <xdr:colOff>333376</xdr:colOff>
      <xdr:row>24</xdr:row>
      <xdr:rowOff>66675</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3571876" y="6276975"/>
          <a:ext cx="7286625" cy="5905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Create</a:t>
          </a:r>
          <a:r>
            <a:rPr lang="en-NZ" sz="1400" baseline="0"/>
            <a:t> a summary report for each mob capturing the current and alternative feed options</a:t>
          </a:r>
          <a:endParaRPr lang="en-NZ" sz="1400"/>
        </a:p>
      </xdr:txBody>
    </xdr:sp>
    <xdr:clientData/>
  </xdr:twoCellAnchor>
  <xdr:twoCellAnchor>
    <xdr:from>
      <xdr:col>24</xdr:col>
      <xdr:colOff>0</xdr:colOff>
      <xdr:row>5</xdr:row>
      <xdr:rowOff>0</xdr:rowOff>
    </xdr:from>
    <xdr:to>
      <xdr:col>26</xdr:col>
      <xdr:colOff>333374</xdr:colOff>
      <xdr:row>8</xdr:row>
      <xdr:rowOff>9525</xdr:rowOff>
    </xdr:to>
    <xdr:sp macro="" textlink="">
      <xdr:nvSpPr>
        <xdr:cNvPr id="12" name="Rectangle: Rounded Corners 11">
          <a:extLst>
            <a:ext uri="{FF2B5EF4-FFF2-40B4-BE49-F238E27FC236}">
              <a16:creationId xmlns:a16="http://schemas.microsoft.com/office/drawing/2014/main" id="{00000000-0008-0000-0D00-00000C000000}"/>
            </a:ext>
          </a:extLst>
        </xdr:cNvPr>
        <xdr:cNvSpPr/>
      </xdr:nvSpPr>
      <xdr:spPr>
        <a:xfrm>
          <a:off x="12144375" y="1059656"/>
          <a:ext cx="1547812" cy="581025"/>
        </a:xfrm>
        <a:prstGeom prst="roundRect">
          <a:avLst/>
        </a:prstGeom>
        <a:solidFill>
          <a:srgbClr val="00B0F0"/>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NZ" sz="1200">
              <a:solidFill>
                <a:schemeClr val="bg1"/>
              </a:solidFill>
              <a:latin typeface="Arial Black" panose="020B0A04020102020204" pitchFamily="34" charset="0"/>
            </a:rPr>
            <a:t>QUICK</a:t>
          </a:r>
          <a:r>
            <a:rPr lang="en-NZ" sz="1200" baseline="0">
              <a:solidFill>
                <a:schemeClr val="bg1"/>
              </a:solidFill>
              <a:latin typeface="Arial Black" panose="020B0A04020102020204" pitchFamily="34" charset="0"/>
            </a:rPr>
            <a:t> CHECK</a:t>
          </a:r>
          <a:endParaRPr lang="en-NZ" sz="1200">
            <a:solidFill>
              <a:schemeClr val="bg1"/>
            </a:solidFill>
            <a:latin typeface="Arial Black" panose="020B0A04020102020204" pitchFamily="34" charset="0"/>
          </a:endParaRPr>
        </a:p>
      </xdr:txBody>
    </xdr:sp>
    <xdr:clientData/>
  </xdr:twoCellAnchor>
  <xdr:twoCellAnchor>
    <xdr:from>
      <xdr:col>26</xdr:col>
      <xdr:colOff>595312</xdr:colOff>
      <xdr:row>4</xdr:row>
      <xdr:rowOff>154780</xdr:rowOff>
    </xdr:from>
    <xdr:to>
      <xdr:col>32</xdr:col>
      <xdr:colOff>392905</xdr:colOff>
      <xdr:row>8</xdr:row>
      <xdr:rowOff>71437</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13954125" y="1023936"/>
          <a:ext cx="3440905" cy="67865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NZ" sz="1400"/>
            <a:t>Enter essential</a:t>
          </a:r>
          <a:r>
            <a:rPr lang="en-NZ" sz="1400" baseline="0"/>
            <a:t>  mob and feeding data on the same page for a quick diet check assessment</a:t>
          </a:r>
          <a:endParaRPr lang="en-NZ" sz="1400"/>
        </a:p>
      </xdr:txBody>
    </xdr:sp>
    <xdr:clientData/>
  </xdr:twoCellAnchor>
  <xdr:twoCellAnchor>
    <xdr:from>
      <xdr:col>6</xdr:col>
      <xdr:colOff>11906</xdr:colOff>
      <xdr:row>37</xdr:row>
      <xdr:rowOff>178594</xdr:rowOff>
    </xdr:from>
    <xdr:to>
      <xdr:col>8</xdr:col>
      <xdr:colOff>559594</xdr:colOff>
      <xdr:row>42</xdr:row>
      <xdr:rowOff>11906</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655219" y="7858125"/>
          <a:ext cx="1762125" cy="928687"/>
        </a:xfrm>
        <a:prstGeom prst="rect">
          <a:avLst/>
        </a:prstGeom>
        <a:solidFill>
          <a:srgbClr val="69BE28">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31750</xdr:colOff>
      <xdr:row>43</xdr:row>
      <xdr:rowOff>95250</xdr:rowOff>
    </xdr:from>
    <xdr:to>
      <xdr:col>8</xdr:col>
      <xdr:colOff>79375</xdr:colOff>
      <xdr:row>46</xdr:row>
      <xdr:rowOff>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651250" y="8826500"/>
          <a:ext cx="1254125" cy="619125"/>
        </a:xfrm>
        <a:prstGeom prst="rect">
          <a:avLst/>
        </a:prstGeom>
        <a:solidFill>
          <a:srgbClr val="69BE28">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5</xdr:col>
      <xdr:colOff>571500</xdr:colOff>
      <xdr:row>51</xdr:row>
      <xdr:rowOff>0</xdr:rowOff>
    </xdr:from>
    <xdr:to>
      <xdr:col>8</xdr:col>
      <xdr:colOff>127000</xdr:colOff>
      <xdr:row>53</xdr:row>
      <xdr:rowOff>63500</xdr:rowOff>
    </xdr:to>
    <xdr:sp macro="" textlink="">
      <xdr:nvSpPr>
        <xdr:cNvPr id="18" name="Rectangle 17">
          <a:extLst>
            <a:ext uri="{FF2B5EF4-FFF2-40B4-BE49-F238E27FC236}">
              <a16:creationId xmlns:a16="http://schemas.microsoft.com/office/drawing/2014/main" id="{00000000-0008-0000-0D00-000012000000}"/>
            </a:ext>
          </a:extLst>
        </xdr:cNvPr>
        <xdr:cNvSpPr/>
      </xdr:nvSpPr>
      <xdr:spPr>
        <a:xfrm>
          <a:off x="3587750" y="10398125"/>
          <a:ext cx="1365250" cy="587375"/>
        </a:xfrm>
        <a:prstGeom prst="rect">
          <a:avLst/>
        </a:prstGeom>
        <a:solidFill>
          <a:srgbClr val="69BE28">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15875</xdr:colOff>
      <xdr:row>54</xdr:row>
      <xdr:rowOff>174625</xdr:rowOff>
    </xdr:from>
    <xdr:to>
      <xdr:col>8</xdr:col>
      <xdr:colOff>523875</xdr:colOff>
      <xdr:row>59</xdr:row>
      <xdr:rowOff>79375</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3635375" y="11287125"/>
          <a:ext cx="1714500" cy="857250"/>
        </a:xfrm>
        <a:prstGeom prst="rect">
          <a:avLst/>
        </a:prstGeom>
        <a:solidFill>
          <a:srgbClr val="69BE28">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15875</xdr:colOff>
      <xdr:row>32</xdr:row>
      <xdr:rowOff>15875</xdr:rowOff>
    </xdr:from>
    <xdr:to>
      <xdr:col>8</xdr:col>
      <xdr:colOff>555625</xdr:colOff>
      <xdr:row>36</xdr:row>
      <xdr:rowOff>95250</xdr:rowOff>
    </xdr:to>
    <xdr:sp macro="" textlink="">
      <xdr:nvSpPr>
        <xdr:cNvPr id="20" name="Rectangle 19">
          <a:extLst>
            <a:ext uri="{FF2B5EF4-FFF2-40B4-BE49-F238E27FC236}">
              <a16:creationId xmlns:a16="http://schemas.microsoft.com/office/drawing/2014/main" id="{00000000-0008-0000-0D00-000014000000}"/>
            </a:ext>
          </a:extLst>
        </xdr:cNvPr>
        <xdr:cNvSpPr/>
      </xdr:nvSpPr>
      <xdr:spPr>
        <a:xfrm>
          <a:off x="3635375" y="6365875"/>
          <a:ext cx="1746250" cy="984250"/>
        </a:xfrm>
        <a:prstGeom prst="rect">
          <a:avLst/>
        </a:prstGeom>
        <a:solidFill>
          <a:srgbClr val="69BE2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12</xdr:col>
      <xdr:colOff>15875</xdr:colOff>
      <xdr:row>32</xdr:row>
      <xdr:rowOff>0</xdr:rowOff>
    </xdr:from>
    <xdr:to>
      <xdr:col>14</xdr:col>
      <xdr:colOff>555625</xdr:colOff>
      <xdr:row>36</xdr:row>
      <xdr:rowOff>111125</xdr:rowOff>
    </xdr:to>
    <xdr:sp macro="" textlink="">
      <xdr:nvSpPr>
        <xdr:cNvPr id="21" name="Rectangle 20">
          <a:extLst>
            <a:ext uri="{FF2B5EF4-FFF2-40B4-BE49-F238E27FC236}">
              <a16:creationId xmlns:a16="http://schemas.microsoft.com/office/drawing/2014/main" id="{00000000-0008-0000-0D00-000015000000}"/>
            </a:ext>
          </a:extLst>
        </xdr:cNvPr>
        <xdr:cNvSpPr/>
      </xdr:nvSpPr>
      <xdr:spPr>
        <a:xfrm>
          <a:off x="6048375" y="6350000"/>
          <a:ext cx="1746250" cy="1016000"/>
        </a:xfrm>
        <a:prstGeom prst="rect">
          <a:avLst/>
        </a:prstGeom>
        <a:solidFill>
          <a:srgbClr val="35373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t>'53-55-53</a:t>
          </a:r>
        </a:p>
      </xdr:txBody>
    </xdr:sp>
    <xdr:clientData/>
  </xdr:twoCellAnchor>
  <xdr:twoCellAnchor>
    <xdr:from>
      <xdr:col>15</xdr:col>
      <xdr:colOff>523875</xdr:colOff>
      <xdr:row>31</xdr:row>
      <xdr:rowOff>174625</xdr:rowOff>
    </xdr:from>
    <xdr:to>
      <xdr:col>18</xdr:col>
      <xdr:colOff>587375</xdr:colOff>
      <xdr:row>36</xdr:row>
      <xdr:rowOff>127000</xdr:rowOff>
    </xdr:to>
    <xdr:sp macro="" textlink="">
      <xdr:nvSpPr>
        <xdr:cNvPr id="17" name="Rectangle 16">
          <a:extLst>
            <a:ext uri="{FF2B5EF4-FFF2-40B4-BE49-F238E27FC236}">
              <a16:creationId xmlns:a16="http://schemas.microsoft.com/office/drawing/2014/main" id="{00000000-0008-0000-0D00-000011000000}"/>
            </a:ext>
          </a:extLst>
        </xdr:cNvPr>
        <xdr:cNvSpPr/>
      </xdr:nvSpPr>
      <xdr:spPr>
        <a:xfrm>
          <a:off x="8477250" y="6334125"/>
          <a:ext cx="1873250" cy="1047750"/>
        </a:xfrm>
        <a:prstGeom prst="rect">
          <a:avLst/>
        </a:prstGeom>
        <a:solidFill>
          <a:srgbClr val="009A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444500</xdr:colOff>
      <xdr:row>43</xdr:row>
      <xdr:rowOff>15875</xdr:rowOff>
    </xdr:from>
    <xdr:to>
      <xdr:col>18</xdr:col>
      <xdr:colOff>127000</xdr:colOff>
      <xdr:row>46</xdr:row>
      <xdr:rowOff>63500</xdr:rowOff>
    </xdr:to>
    <xdr:sp macro="" textlink="">
      <xdr:nvSpPr>
        <xdr:cNvPr id="26" name="Rectangle 25">
          <a:extLst>
            <a:ext uri="{FF2B5EF4-FFF2-40B4-BE49-F238E27FC236}">
              <a16:creationId xmlns:a16="http://schemas.microsoft.com/office/drawing/2014/main" id="{00000000-0008-0000-0D00-00001A000000}"/>
            </a:ext>
          </a:extLst>
        </xdr:cNvPr>
        <xdr:cNvSpPr/>
      </xdr:nvSpPr>
      <xdr:spPr>
        <a:xfrm>
          <a:off x="8397875" y="8747125"/>
          <a:ext cx="1492250" cy="762000"/>
        </a:xfrm>
        <a:prstGeom prst="rect">
          <a:avLst/>
        </a:prstGeom>
        <a:solidFill>
          <a:srgbClr val="009AA6">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508000</xdr:colOff>
      <xdr:row>51</xdr:row>
      <xdr:rowOff>95249</xdr:rowOff>
    </xdr:from>
    <xdr:to>
      <xdr:col>17</xdr:col>
      <xdr:colOff>555625</xdr:colOff>
      <xdr:row>53</xdr:row>
      <xdr:rowOff>63500</xdr:rowOff>
    </xdr:to>
    <xdr:sp macro="" textlink="">
      <xdr:nvSpPr>
        <xdr:cNvPr id="27" name="Rectangle 26">
          <a:extLst>
            <a:ext uri="{FF2B5EF4-FFF2-40B4-BE49-F238E27FC236}">
              <a16:creationId xmlns:a16="http://schemas.microsoft.com/office/drawing/2014/main" id="{00000000-0008-0000-0D00-00001B000000}"/>
            </a:ext>
          </a:extLst>
        </xdr:cNvPr>
        <xdr:cNvSpPr/>
      </xdr:nvSpPr>
      <xdr:spPr>
        <a:xfrm>
          <a:off x="8461375" y="10493374"/>
          <a:ext cx="1254125" cy="603251"/>
        </a:xfrm>
        <a:prstGeom prst="rect">
          <a:avLst/>
        </a:prstGeom>
        <a:solidFill>
          <a:srgbClr val="009AA6">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15</xdr:col>
      <xdr:colOff>460375</xdr:colOff>
      <xdr:row>37</xdr:row>
      <xdr:rowOff>158750</xdr:rowOff>
    </xdr:from>
    <xdr:to>
      <xdr:col>18</xdr:col>
      <xdr:colOff>492125</xdr:colOff>
      <xdr:row>42</xdr:row>
      <xdr:rowOff>47625</xdr:rowOff>
    </xdr:to>
    <xdr:sp macro="" textlink="">
      <xdr:nvSpPr>
        <xdr:cNvPr id="28" name="Rectangle 27">
          <a:extLst>
            <a:ext uri="{FF2B5EF4-FFF2-40B4-BE49-F238E27FC236}">
              <a16:creationId xmlns:a16="http://schemas.microsoft.com/office/drawing/2014/main" id="{00000000-0008-0000-0D00-00001C000000}"/>
            </a:ext>
          </a:extLst>
        </xdr:cNvPr>
        <xdr:cNvSpPr/>
      </xdr:nvSpPr>
      <xdr:spPr>
        <a:xfrm>
          <a:off x="8302625" y="7604125"/>
          <a:ext cx="1841500" cy="984250"/>
        </a:xfrm>
        <a:prstGeom prst="rect">
          <a:avLst/>
        </a:prstGeom>
        <a:solidFill>
          <a:srgbClr val="009AA6">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31750</xdr:colOff>
      <xdr:row>38</xdr:row>
      <xdr:rowOff>0</xdr:rowOff>
    </xdr:from>
    <xdr:to>
      <xdr:col>24</xdr:col>
      <xdr:colOff>555625</xdr:colOff>
      <xdr:row>42</xdr:row>
      <xdr:rowOff>31750</xdr:rowOff>
    </xdr:to>
    <xdr:sp macro="" textlink="">
      <xdr:nvSpPr>
        <xdr:cNvPr id="29" name="Rectangle 28">
          <a:extLst>
            <a:ext uri="{FF2B5EF4-FFF2-40B4-BE49-F238E27FC236}">
              <a16:creationId xmlns:a16="http://schemas.microsoft.com/office/drawing/2014/main" id="{00000000-0008-0000-0D00-00001D000000}"/>
            </a:ext>
          </a:extLst>
        </xdr:cNvPr>
        <xdr:cNvSpPr/>
      </xdr:nvSpPr>
      <xdr:spPr>
        <a:xfrm>
          <a:off x="10890250" y="7635875"/>
          <a:ext cx="1889125" cy="936625"/>
        </a:xfrm>
        <a:prstGeom prst="rect">
          <a:avLst/>
        </a:prstGeom>
        <a:solidFill>
          <a:srgbClr val="DAD7CB">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0</xdr:colOff>
      <xdr:row>43</xdr:row>
      <xdr:rowOff>1</xdr:rowOff>
    </xdr:from>
    <xdr:to>
      <xdr:col>24</xdr:col>
      <xdr:colOff>174625</xdr:colOff>
      <xdr:row>46</xdr:row>
      <xdr:rowOff>79376</xdr:rowOff>
    </xdr:to>
    <xdr:sp macro="" textlink="">
      <xdr:nvSpPr>
        <xdr:cNvPr id="31" name="Rectangle 30">
          <a:extLst>
            <a:ext uri="{FF2B5EF4-FFF2-40B4-BE49-F238E27FC236}">
              <a16:creationId xmlns:a16="http://schemas.microsoft.com/office/drawing/2014/main" id="{00000000-0008-0000-0D00-00001F000000}"/>
            </a:ext>
          </a:extLst>
        </xdr:cNvPr>
        <xdr:cNvSpPr/>
      </xdr:nvSpPr>
      <xdr:spPr>
        <a:xfrm>
          <a:off x="11572875" y="8731251"/>
          <a:ext cx="1539875" cy="793750"/>
        </a:xfrm>
        <a:prstGeom prst="rect">
          <a:avLst/>
        </a:prstGeom>
        <a:solidFill>
          <a:srgbClr val="DAD7CB">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solidFill>
                <a:sysClr val="windowText" lastClr="000000"/>
              </a:solidFill>
            </a:rPr>
            <a:t>'233-231-224</a:t>
          </a:r>
        </a:p>
      </xdr:txBody>
    </xdr:sp>
    <xdr:clientData/>
  </xdr:twoCellAnchor>
  <xdr:twoCellAnchor>
    <xdr:from>
      <xdr:col>20</xdr:col>
      <xdr:colOff>539751</xdr:colOff>
      <xdr:row>51</xdr:row>
      <xdr:rowOff>63499</xdr:rowOff>
    </xdr:from>
    <xdr:to>
      <xdr:col>23</xdr:col>
      <xdr:colOff>333376</xdr:colOff>
      <xdr:row>53</xdr:row>
      <xdr:rowOff>15874</xdr:rowOff>
    </xdr:to>
    <xdr:sp macro="" textlink="">
      <xdr:nvSpPr>
        <xdr:cNvPr id="32" name="Rectangle 31">
          <a:extLst>
            <a:ext uri="{FF2B5EF4-FFF2-40B4-BE49-F238E27FC236}">
              <a16:creationId xmlns:a16="http://schemas.microsoft.com/office/drawing/2014/main" id="{00000000-0008-0000-0D00-000020000000}"/>
            </a:ext>
          </a:extLst>
        </xdr:cNvPr>
        <xdr:cNvSpPr/>
      </xdr:nvSpPr>
      <xdr:spPr>
        <a:xfrm>
          <a:off x="11509376" y="10461624"/>
          <a:ext cx="1397000" cy="587375"/>
        </a:xfrm>
        <a:prstGeom prst="rect">
          <a:avLst/>
        </a:prstGeom>
        <a:solidFill>
          <a:srgbClr val="DAD7CB">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21</xdr:col>
      <xdr:colOff>0</xdr:colOff>
      <xdr:row>55</xdr:row>
      <xdr:rowOff>0</xdr:rowOff>
    </xdr:from>
    <xdr:to>
      <xdr:col>24</xdr:col>
      <xdr:colOff>523875</xdr:colOff>
      <xdr:row>59</xdr:row>
      <xdr:rowOff>31750</xdr:rowOff>
    </xdr:to>
    <xdr:sp macro="" textlink="">
      <xdr:nvSpPr>
        <xdr:cNvPr id="33" name="Rectangle 32">
          <a:extLst>
            <a:ext uri="{FF2B5EF4-FFF2-40B4-BE49-F238E27FC236}">
              <a16:creationId xmlns:a16="http://schemas.microsoft.com/office/drawing/2014/main" id="{00000000-0008-0000-0D00-000021000000}"/>
            </a:ext>
          </a:extLst>
        </xdr:cNvPr>
        <xdr:cNvSpPr/>
      </xdr:nvSpPr>
      <xdr:spPr>
        <a:xfrm>
          <a:off x="10858500" y="11303000"/>
          <a:ext cx="1889125" cy="936625"/>
        </a:xfrm>
        <a:prstGeom prst="rect">
          <a:avLst/>
        </a:prstGeom>
        <a:solidFill>
          <a:srgbClr val="DAD7CB">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63500</xdr:colOff>
      <xdr:row>46</xdr:row>
      <xdr:rowOff>127000</xdr:rowOff>
    </xdr:from>
    <xdr:to>
      <xdr:col>8</xdr:col>
      <xdr:colOff>158750</xdr:colOff>
      <xdr:row>49</xdr:row>
      <xdr:rowOff>142875</xdr:rowOff>
    </xdr:to>
    <xdr:sp macro="" textlink="">
      <xdr:nvSpPr>
        <xdr:cNvPr id="34" name="Rectangle 33">
          <a:extLst>
            <a:ext uri="{FF2B5EF4-FFF2-40B4-BE49-F238E27FC236}">
              <a16:creationId xmlns:a16="http://schemas.microsoft.com/office/drawing/2014/main" id="{00000000-0008-0000-0D00-000022000000}"/>
            </a:ext>
          </a:extLst>
        </xdr:cNvPr>
        <xdr:cNvSpPr/>
      </xdr:nvSpPr>
      <xdr:spPr>
        <a:xfrm>
          <a:off x="3683000" y="9572625"/>
          <a:ext cx="1301750" cy="730250"/>
        </a:xfrm>
        <a:prstGeom prst="rect">
          <a:avLst/>
        </a:prstGeom>
        <a:solidFill>
          <a:srgbClr val="69BE28">
            <a:alpha val="4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16</xdr:col>
      <xdr:colOff>428625</xdr:colOff>
      <xdr:row>64</xdr:row>
      <xdr:rowOff>142875</xdr:rowOff>
    </xdr:from>
    <xdr:to>
      <xdr:col>18</xdr:col>
      <xdr:colOff>476250</xdr:colOff>
      <xdr:row>67</xdr:row>
      <xdr:rowOff>158751</xdr:rowOff>
    </xdr:to>
    <xdr:sp macro="" textlink="">
      <xdr:nvSpPr>
        <xdr:cNvPr id="35" name="Rectangle 34">
          <a:extLst>
            <a:ext uri="{FF2B5EF4-FFF2-40B4-BE49-F238E27FC236}">
              <a16:creationId xmlns:a16="http://schemas.microsoft.com/office/drawing/2014/main" id="{00000000-0008-0000-0D00-000023000000}"/>
            </a:ext>
          </a:extLst>
        </xdr:cNvPr>
        <xdr:cNvSpPr/>
      </xdr:nvSpPr>
      <xdr:spPr>
        <a:xfrm>
          <a:off x="8985250" y="13557250"/>
          <a:ext cx="1254125" cy="603251"/>
        </a:xfrm>
        <a:prstGeom prst="rect">
          <a:avLst/>
        </a:prstGeom>
        <a:solidFill>
          <a:srgbClr val="FFFFFF"/>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NZ" sz="1100"/>
        </a:p>
      </xdr:txBody>
    </xdr:sp>
    <xdr:clientData/>
  </xdr:twoCellAnchor>
  <xdr:twoCellAnchor>
    <xdr:from>
      <xdr:col>7</xdr:col>
      <xdr:colOff>0</xdr:colOff>
      <xdr:row>64</xdr:row>
      <xdr:rowOff>0</xdr:rowOff>
    </xdr:from>
    <xdr:to>
      <xdr:col>10</xdr:col>
      <xdr:colOff>174625</xdr:colOff>
      <xdr:row>68</xdr:row>
      <xdr:rowOff>0</xdr:rowOff>
    </xdr:to>
    <xdr:sp macro="" textlink="">
      <xdr:nvSpPr>
        <xdr:cNvPr id="36" name="Rectangle 35">
          <a:extLst>
            <a:ext uri="{FF2B5EF4-FFF2-40B4-BE49-F238E27FC236}">
              <a16:creationId xmlns:a16="http://schemas.microsoft.com/office/drawing/2014/main" id="{00000000-0008-0000-0D00-000024000000}"/>
            </a:ext>
          </a:extLst>
        </xdr:cNvPr>
        <xdr:cNvSpPr/>
      </xdr:nvSpPr>
      <xdr:spPr>
        <a:xfrm>
          <a:off x="4222750" y="13414375"/>
          <a:ext cx="1539875" cy="793750"/>
        </a:xfrm>
        <a:prstGeom prst="rect">
          <a:avLst/>
        </a:prstGeom>
        <a:solidFill>
          <a:srgbClr val="92D050">
            <a:alpha val="6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16</xdr:col>
      <xdr:colOff>0</xdr:colOff>
      <xdr:row>56</xdr:row>
      <xdr:rowOff>0</xdr:rowOff>
    </xdr:from>
    <xdr:to>
      <xdr:col>18</xdr:col>
      <xdr:colOff>47625</xdr:colOff>
      <xdr:row>58</xdr:row>
      <xdr:rowOff>79376</xdr:rowOff>
    </xdr:to>
    <xdr:sp macro="" textlink="">
      <xdr:nvSpPr>
        <xdr:cNvPr id="37" name="Rectangle 36">
          <a:extLst>
            <a:ext uri="{FF2B5EF4-FFF2-40B4-BE49-F238E27FC236}">
              <a16:creationId xmlns:a16="http://schemas.microsoft.com/office/drawing/2014/main" id="{00000000-0008-0000-0D00-000025000000}"/>
            </a:ext>
          </a:extLst>
        </xdr:cNvPr>
        <xdr:cNvSpPr/>
      </xdr:nvSpPr>
      <xdr:spPr>
        <a:xfrm>
          <a:off x="8556625" y="11747500"/>
          <a:ext cx="1254125" cy="603251"/>
        </a:xfrm>
        <a:prstGeom prst="rect">
          <a:avLst/>
        </a:prstGeom>
        <a:solidFill>
          <a:srgbClr val="009AA6">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13</xdr:col>
      <xdr:colOff>174625</xdr:colOff>
      <xdr:row>59</xdr:row>
      <xdr:rowOff>142875</xdr:rowOff>
    </xdr:from>
    <xdr:to>
      <xdr:col>16</xdr:col>
      <xdr:colOff>111125</xdr:colOff>
      <xdr:row>66</xdr:row>
      <xdr:rowOff>0</xdr:rowOff>
    </xdr:to>
    <xdr:sp macro="" textlink="">
      <xdr:nvSpPr>
        <xdr:cNvPr id="38" name="Rectangle 37">
          <a:extLst>
            <a:ext uri="{FF2B5EF4-FFF2-40B4-BE49-F238E27FC236}">
              <a16:creationId xmlns:a16="http://schemas.microsoft.com/office/drawing/2014/main" id="{00000000-0008-0000-0D00-000026000000}"/>
            </a:ext>
          </a:extLst>
        </xdr:cNvPr>
        <xdr:cNvSpPr/>
      </xdr:nvSpPr>
      <xdr:spPr>
        <a:xfrm>
          <a:off x="6921500" y="12604750"/>
          <a:ext cx="1746250" cy="1190625"/>
        </a:xfrm>
        <a:prstGeom prst="rect">
          <a:avLst/>
        </a:prstGeom>
        <a:solidFill>
          <a:srgbClr val="353735">
            <a:alpha val="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100"/>
            <a:t>'53-55-53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pageSetUpPr fitToPage="1"/>
  </sheetPr>
  <dimension ref="B2:AM104"/>
  <sheetViews>
    <sheetView showGridLines="0" tabSelected="1" zoomScale="80" zoomScaleNormal="80" zoomScaleSheetLayoutView="50" workbookViewId="0">
      <selection activeCell="Q164" sqref="Q164"/>
    </sheetView>
  </sheetViews>
  <sheetFormatPr defaultRowHeight="14.4"/>
  <cols>
    <col min="1" max="2" width="2.44140625" customWidth="1"/>
    <col min="8" max="8" width="3.5546875" customWidth="1"/>
  </cols>
  <sheetData>
    <row r="2" spans="2:27" ht="21" customHeight="1">
      <c r="C2" s="1649" t="s">
        <v>623</v>
      </c>
      <c r="D2" s="1650"/>
      <c r="E2" s="1650"/>
      <c r="F2" s="1650"/>
      <c r="G2" s="1650"/>
      <c r="H2" s="1650"/>
      <c r="I2" s="1650"/>
      <c r="J2" s="1650"/>
      <c r="K2" s="1650"/>
      <c r="L2" s="1650"/>
      <c r="M2" s="1650"/>
      <c r="N2" s="1650"/>
      <c r="O2" s="1650"/>
      <c r="P2" s="1650"/>
      <c r="Q2" s="1650"/>
      <c r="R2" s="1650"/>
      <c r="S2" s="1650"/>
      <c r="T2" s="1650"/>
      <c r="U2" s="1650"/>
      <c r="V2" s="1650"/>
      <c r="W2" s="1651"/>
    </row>
    <row r="3" spans="2:27" ht="40.950000000000003" customHeight="1">
      <c r="C3" s="1652"/>
      <c r="D3" s="1653"/>
      <c r="E3" s="1653"/>
      <c r="F3" s="1653"/>
      <c r="G3" s="1653"/>
      <c r="H3" s="1653"/>
      <c r="I3" s="1653"/>
      <c r="J3" s="1653"/>
      <c r="K3" s="1653"/>
      <c r="L3" s="1653"/>
      <c r="M3" s="1653"/>
      <c r="N3" s="1653"/>
      <c r="O3" s="1653"/>
      <c r="P3" s="1653"/>
      <c r="Q3" s="1653"/>
      <c r="R3" s="1653"/>
      <c r="S3" s="1653"/>
      <c r="T3" s="1653"/>
      <c r="U3" s="1653"/>
      <c r="V3" s="1653"/>
      <c r="W3" s="1654"/>
    </row>
    <row r="4" spans="2:27" ht="13.95" customHeight="1">
      <c r="C4" s="1604"/>
      <c r="D4" s="1604"/>
      <c r="E4" s="1604"/>
      <c r="F4" s="1604"/>
      <c r="G4" s="1604"/>
      <c r="H4" s="1604"/>
      <c r="I4" s="1604"/>
      <c r="J4" s="1604"/>
      <c r="K4" s="1604"/>
      <c r="L4" s="1604"/>
      <c r="M4" s="1604"/>
      <c r="N4" s="1604"/>
      <c r="O4" s="1604"/>
      <c r="P4" s="1604"/>
      <c r="Q4" s="1604"/>
      <c r="R4" s="1604"/>
      <c r="S4" s="1604"/>
      <c r="T4" s="1604"/>
      <c r="U4" s="1604"/>
      <c r="V4" s="1604"/>
      <c r="W4" s="1604"/>
    </row>
    <row r="5" spans="2:27" ht="22.5" customHeight="1">
      <c r="C5" s="1221" t="s">
        <v>443</v>
      </c>
    </row>
    <row r="6" spans="2:27" ht="22.5" customHeight="1">
      <c r="C6" s="1656" t="s">
        <v>479</v>
      </c>
      <c r="D6" s="1656"/>
      <c r="E6" s="1656"/>
      <c r="F6" s="1656"/>
      <c r="G6" s="1656"/>
      <c r="H6" s="1656"/>
      <c r="I6" s="1656"/>
      <c r="J6" s="1656"/>
      <c r="K6" s="1656"/>
      <c r="L6" s="1656"/>
      <c r="M6" s="1656"/>
      <c r="N6" s="1656"/>
      <c r="O6" s="1656"/>
      <c r="P6" s="1656"/>
      <c r="Q6" s="1656"/>
      <c r="R6" s="1656"/>
      <c r="S6" s="1656"/>
      <c r="T6" s="1656"/>
      <c r="U6" s="1656"/>
      <c r="V6" s="1656"/>
    </row>
    <row r="8" spans="2:27" ht="21">
      <c r="C8" s="1221" t="s">
        <v>444</v>
      </c>
    </row>
    <row r="9" spans="2:27" ht="75" customHeight="1">
      <c r="C9" s="1655" t="s">
        <v>480</v>
      </c>
      <c r="D9" s="1655"/>
      <c r="E9" s="1655"/>
      <c r="F9" s="1655"/>
      <c r="G9" s="1655"/>
      <c r="H9" s="1655"/>
      <c r="I9" s="1655"/>
      <c r="J9" s="1655"/>
      <c r="K9" s="1655"/>
      <c r="L9" s="1655"/>
      <c r="M9" s="1655"/>
      <c r="N9" s="1655"/>
      <c r="O9" s="1655"/>
      <c r="P9" s="1655"/>
      <c r="Q9" s="1655"/>
      <c r="R9" s="1655"/>
      <c r="S9" s="1655"/>
      <c r="T9" s="1655"/>
      <c r="U9" s="1655"/>
      <c r="V9" s="1655"/>
    </row>
    <row r="10" spans="2:27" ht="38.25" customHeigh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2:27" ht="21">
      <c r="C11" s="1221" t="s">
        <v>425</v>
      </c>
      <c r="I11" s="7"/>
      <c r="J11" s="7"/>
      <c r="K11" s="7"/>
      <c r="L11" s="7"/>
      <c r="M11" s="7"/>
      <c r="N11" s="7"/>
      <c r="O11" s="7"/>
      <c r="P11" s="7"/>
      <c r="Q11" s="7"/>
      <c r="R11" s="7"/>
      <c r="S11" s="7"/>
      <c r="T11" s="7"/>
      <c r="U11" s="7"/>
      <c r="V11" s="7"/>
      <c r="W11" s="7"/>
      <c r="X11" s="7"/>
      <c r="Y11" s="7"/>
      <c r="Z11" s="7"/>
      <c r="AA11" s="7"/>
    </row>
    <row r="12" spans="2:27">
      <c r="B12" s="165"/>
      <c r="I12" s="7"/>
      <c r="J12" s="7"/>
      <c r="K12" s="7"/>
      <c r="L12" s="7"/>
      <c r="M12" s="7"/>
      <c r="N12" s="7"/>
      <c r="O12" s="7"/>
      <c r="P12" s="7"/>
      <c r="Q12" s="7"/>
      <c r="R12" s="7"/>
      <c r="S12" s="7"/>
      <c r="T12" s="7"/>
      <c r="U12" s="7"/>
      <c r="V12" s="7"/>
      <c r="W12" s="7"/>
      <c r="X12" s="7"/>
      <c r="Y12" s="7"/>
      <c r="Z12" s="7"/>
      <c r="AA12" s="7"/>
    </row>
    <row r="13" spans="2:27">
      <c r="B13" s="165"/>
      <c r="I13" s="7"/>
      <c r="J13" s="7"/>
      <c r="K13" s="7"/>
      <c r="L13" s="7"/>
      <c r="M13" s="7"/>
      <c r="N13" s="7"/>
      <c r="O13" s="7"/>
      <c r="P13" s="7"/>
      <c r="Q13" s="7"/>
      <c r="R13" s="7"/>
      <c r="S13" s="7"/>
      <c r="T13" s="7"/>
      <c r="U13" s="7"/>
      <c r="V13" s="7"/>
      <c r="W13" s="7"/>
      <c r="X13" s="7"/>
      <c r="Y13" s="7"/>
      <c r="Z13" s="7"/>
      <c r="AA13" s="7"/>
    </row>
    <row r="14" spans="2:27">
      <c r="B14" s="165"/>
      <c r="I14" s="7"/>
      <c r="J14" s="7"/>
      <c r="K14" s="7"/>
      <c r="L14" s="7"/>
      <c r="M14" s="7"/>
      <c r="N14" s="7"/>
      <c r="O14" s="7"/>
      <c r="P14" s="7"/>
      <c r="Q14" s="7"/>
      <c r="R14" s="7"/>
      <c r="S14" s="7"/>
      <c r="T14" s="7"/>
      <c r="U14" s="7"/>
      <c r="V14" s="7"/>
      <c r="W14" s="7"/>
      <c r="X14" s="7"/>
      <c r="Y14" s="7"/>
      <c r="Z14" s="7"/>
      <c r="AA14" s="7"/>
    </row>
    <row r="15" spans="2:27">
      <c r="B15" s="165"/>
      <c r="I15" s="96" t="s">
        <v>482</v>
      </c>
      <c r="J15" s="7"/>
      <c r="K15" s="7"/>
      <c r="L15" s="7"/>
      <c r="M15" s="7"/>
      <c r="N15" s="7"/>
      <c r="O15" s="7"/>
      <c r="P15" s="7"/>
      <c r="Q15" s="7"/>
      <c r="R15" s="7"/>
      <c r="S15" s="7"/>
      <c r="T15" s="7"/>
      <c r="U15" s="7"/>
      <c r="V15" s="7"/>
      <c r="W15" s="7"/>
      <c r="X15" s="7"/>
      <c r="Y15" s="7"/>
      <c r="Z15" s="7"/>
      <c r="AA15" s="7"/>
    </row>
    <row r="16" spans="2:27">
      <c r="B16" s="166"/>
      <c r="I16" s="7"/>
      <c r="J16" s="7"/>
      <c r="K16" s="7"/>
      <c r="L16" s="7"/>
      <c r="M16" s="7"/>
      <c r="N16" s="7"/>
      <c r="O16" s="7"/>
      <c r="P16" s="7"/>
      <c r="Q16" s="7"/>
      <c r="R16" s="7"/>
      <c r="S16" s="7"/>
      <c r="T16" s="7"/>
      <c r="U16" s="7"/>
      <c r="V16" s="7"/>
      <c r="W16" s="7"/>
      <c r="X16" s="7"/>
      <c r="Y16" s="7"/>
      <c r="Z16" s="7"/>
      <c r="AA16" s="7"/>
    </row>
    <row r="17" spans="9:32">
      <c r="I17" s="7"/>
      <c r="J17" s="7"/>
      <c r="K17" s="7"/>
      <c r="L17" s="7"/>
      <c r="M17" s="7"/>
      <c r="N17" s="7"/>
      <c r="O17" s="7"/>
      <c r="P17" s="7"/>
      <c r="Q17" s="7"/>
      <c r="R17" s="7"/>
      <c r="S17" s="7"/>
      <c r="T17" s="7"/>
      <c r="U17" s="7"/>
      <c r="V17" s="7"/>
      <c r="W17" s="7"/>
      <c r="X17" s="7"/>
      <c r="Y17" s="7"/>
      <c r="Z17" s="7"/>
      <c r="AA17" s="7"/>
    </row>
    <row r="18" spans="9:32">
      <c r="I18" s="53" t="s">
        <v>548</v>
      </c>
      <c r="J18" s="53"/>
      <c r="K18" s="53"/>
      <c r="L18" s="53"/>
      <c r="M18" s="53"/>
      <c r="N18" s="53"/>
      <c r="O18" s="53"/>
      <c r="P18" s="53"/>
      <c r="Q18" s="53"/>
      <c r="R18" s="53"/>
      <c r="S18" s="53"/>
      <c r="T18" s="53"/>
      <c r="U18" s="53"/>
      <c r="V18" s="53"/>
      <c r="W18" s="53"/>
      <c r="X18" s="53"/>
      <c r="Y18" s="53"/>
      <c r="Z18" s="7"/>
      <c r="AA18" s="7"/>
    </row>
    <row r="19" spans="9:32">
      <c r="I19" s="53" t="s">
        <v>481</v>
      </c>
      <c r="J19" s="53"/>
      <c r="K19" s="53"/>
      <c r="L19" s="53"/>
      <c r="M19" s="53"/>
      <c r="N19" s="53"/>
      <c r="O19" s="53"/>
      <c r="P19" s="53"/>
      <c r="Q19" s="53"/>
      <c r="R19" s="53"/>
      <c r="S19" s="53"/>
      <c r="T19" s="53"/>
      <c r="U19" s="53"/>
      <c r="V19" s="53"/>
      <c r="W19" s="53"/>
      <c r="X19" s="53"/>
      <c r="Y19" s="53"/>
      <c r="Z19" s="7"/>
      <c r="AA19" s="7"/>
    </row>
    <row r="20" spans="9:32">
      <c r="I20" s="7"/>
      <c r="J20" s="7"/>
      <c r="K20" s="7"/>
      <c r="L20" s="7"/>
      <c r="M20" s="7"/>
      <c r="N20" s="7"/>
      <c r="O20" s="7"/>
      <c r="P20" s="7"/>
      <c r="Q20" s="7"/>
      <c r="R20" s="7"/>
      <c r="S20" s="7"/>
      <c r="T20" s="7"/>
      <c r="U20" s="7"/>
      <c r="V20" s="7"/>
      <c r="W20" s="7"/>
      <c r="X20" s="7"/>
      <c r="Y20" s="7"/>
      <c r="Z20" s="7"/>
      <c r="AA20" s="7"/>
    </row>
    <row r="22" spans="9:32" ht="15" customHeight="1">
      <c r="R22" s="1267"/>
      <c r="S22" s="1267"/>
      <c r="T22" s="1267"/>
      <c r="U22" s="1267"/>
      <c r="V22" s="1267"/>
      <c r="W22" s="1267"/>
      <c r="X22" s="1267"/>
      <c r="Y22" s="1267"/>
      <c r="Z22" s="1267"/>
    </row>
    <row r="23" spans="9:32">
      <c r="R23" s="1267"/>
      <c r="S23" s="1267"/>
      <c r="T23" s="1267"/>
      <c r="U23" s="1267"/>
      <c r="V23" s="1267"/>
      <c r="W23" s="1267"/>
      <c r="X23" s="1267"/>
      <c r="Y23" s="1267"/>
      <c r="Z23" s="1267"/>
    </row>
    <row r="25" spans="9:32" ht="15" customHeight="1">
      <c r="R25" s="1267"/>
      <c r="S25" s="1267"/>
      <c r="T25" s="1267"/>
      <c r="U25" s="1267"/>
      <c r="V25" s="1267"/>
      <c r="W25" s="1267"/>
      <c r="X25" s="1267"/>
      <c r="Y25" s="1267"/>
      <c r="Z25" s="1267"/>
    </row>
    <row r="26" spans="9:32">
      <c r="R26" s="1267"/>
      <c r="S26" s="1267"/>
      <c r="T26" s="1267"/>
      <c r="U26" s="1267"/>
      <c r="V26" s="1267"/>
      <c r="W26" s="1267"/>
      <c r="X26" s="1267"/>
      <c r="Y26" s="1267"/>
      <c r="Z26" s="1267"/>
    </row>
    <row r="27" spans="9:32">
      <c r="R27" s="1267"/>
      <c r="S27" s="1267"/>
      <c r="T27" s="1267"/>
      <c r="U27" s="1267"/>
      <c r="V27" s="1267"/>
      <c r="W27" s="1267"/>
      <c r="X27" s="1267"/>
      <c r="Y27" s="1267"/>
      <c r="Z27" s="1267"/>
    </row>
    <row r="28" spans="9:32">
      <c r="R28" s="1267"/>
      <c r="S28" s="1267"/>
      <c r="T28" s="1267"/>
      <c r="U28" s="1267"/>
      <c r="V28" s="1267"/>
      <c r="W28" s="1267"/>
      <c r="X28" s="1267"/>
      <c r="Y28" s="1267"/>
      <c r="Z28" s="1267"/>
    </row>
    <row r="29" spans="9:32">
      <c r="R29" s="1267"/>
      <c r="S29" s="1267"/>
      <c r="T29" s="1267"/>
      <c r="U29" s="1267"/>
      <c r="V29" s="1267"/>
      <c r="W29" s="1267"/>
      <c r="X29" s="1267"/>
      <c r="Y29" s="1267"/>
      <c r="Z29" s="1267"/>
    </row>
    <row r="31" spans="9:32">
      <c r="X31" s="1658"/>
      <c r="Y31" s="1658"/>
      <c r="Z31" s="1658"/>
      <c r="AA31" s="1658"/>
      <c r="AB31" s="1658"/>
      <c r="AC31" s="1658"/>
      <c r="AD31" s="1658"/>
      <c r="AE31" s="1658"/>
      <c r="AF31" s="1658"/>
    </row>
    <row r="32" spans="9:32">
      <c r="X32" s="1658"/>
      <c r="Y32" s="1658"/>
      <c r="Z32" s="1658"/>
      <c r="AA32" s="1658"/>
      <c r="AB32" s="1658"/>
      <c r="AC32" s="1658"/>
      <c r="AD32" s="1658"/>
      <c r="AE32" s="1658"/>
      <c r="AF32" s="1658"/>
    </row>
    <row r="33" spans="18:32" ht="15" customHeight="1">
      <c r="S33" s="1267"/>
      <c r="T33" s="1267"/>
      <c r="U33" s="1267"/>
      <c r="V33" s="1267"/>
      <c r="W33" s="1267"/>
      <c r="X33" s="1267"/>
      <c r="Y33" s="1267"/>
      <c r="Z33" s="1267"/>
    </row>
    <row r="34" spans="18:32">
      <c r="R34" s="1267"/>
      <c r="S34" s="1267"/>
      <c r="T34" s="1267"/>
      <c r="U34" s="1267"/>
      <c r="V34" s="1267"/>
      <c r="W34" s="1267"/>
      <c r="X34" s="1267"/>
      <c r="Y34" s="1267"/>
      <c r="Z34" s="1267"/>
    </row>
    <row r="35" spans="18:32">
      <c r="R35" s="1267"/>
      <c r="S35" s="1267"/>
      <c r="T35" s="1267"/>
      <c r="U35" s="1267"/>
      <c r="V35" s="1267"/>
      <c r="W35" s="1267"/>
      <c r="X35" s="1267"/>
      <c r="Y35" s="1267"/>
      <c r="Z35" s="1267"/>
    </row>
    <row r="37" spans="18:32" ht="15" customHeight="1">
      <c r="S37" s="1267"/>
      <c r="T37" s="1267"/>
      <c r="U37" s="1267"/>
      <c r="V37" s="1267"/>
      <c r="W37" s="1267"/>
      <c r="X37" s="1267"/>
      <c r="Y37" s="1267"/>
      <c r="Z37" s="1267"/>
    </row>
    <row r="38" spans="18:32">
      <c r="R38" s="1267"/>
      <c r="S38" s="1267"/>
      <c r="T38" s="1267"/>
      <c r="U38" s="1267"/>
      <c r="V38" s="1267"/>
      <c r="W38" s="1267"/>
      <c r="X38" s="1267"/>
      <c r="Y38" s="1267"/>
      <c r="Z38" s="1267"/>
    </row>
    <row r="39" spans="18:32">
      <c r="R39" s="1267"/>
      <c r="S39" s="1267"/>
      <c r="T39" s="1267"/>
      <c r="U39" s="1267"/>
      <c r="V39" s="1267"/>
      <c r="W39" s="1267"/>
      <c r="X39" s="1267"/>
      <c r="Y39" s="1267"/>
      <c r="Z39" s="1267"/>
    </row>
    <row r="47" spans="18:32" ht="15" customHeight="1">
      <c r="X47" s="1658"/>
      <c r="Y47" s="1658"/>
      <c r="Z47" s="1658"/>
      <c r="AA47" s="1658"/>
      <c r="AB47" s="1658"/>
      <c r="AC47" s="1658"/>
      <c r="AD47" s="1658"/>
      <c r="AE47" s="1658"/>
      <c r="AF47" s="1658"/>
    </row>
    <row r="48" spans="18:32" ht="15" customHeight="1">
      <c r="X48" s="1658"/>
      <c r="Y48" s="1658"/>
      <c r="Z48" s="1658"/>
      <c r="AA48" s="1658"/>
      <c r="AB48" s="1658"/>
      <c r="AC48" s="1658"/>
      <c r="AD48" s="1658"/>
      <c r="AE48" s="1658"/>
      <c r="AF48" s="1658"/>
    </row>
    <row r="49" spans="23:39">
      <c r="W49" s="1658"/>
      <c r="X49" s="1658"/>
      <c r="Y49" s="1658"/>
      <c r="Z49" s="1658"/>
      <c r="AA49" s="1658"/>
      <c r="AB49" s="1658"/>
      <c r="AC49" s="1658"/>
      <c r="AD49" s="1658"/>
      <c r="AE49" s="1658"/>
      <c r="AF49" s="1194"/>
    </row>
    <row r="50" spans="23:39" ht="15" customHeight="1">
      <c r="W50" s="1658"/>
      <c r="X50" s="1658"/>
      <c r="Y50" s="1658"/>
      <c r="Z50" s="1658"/>
      <c r="AA50" s="1658"/>
      <c r="AB50" s="1658"/>
      <c r="AC50" s="1658"/>
      <c r="AD50" s="1658"/>
      <c r="AE50" s="1658"/>
    </row>
    <row r="51" spans="23:39">
      <c r="W51" s="1658"/>
      <c r="X51" s="1658"/>
      <c r="Y51" s="1658"/>
      <c r="Z51" s="1658"/>
      <c r="AA51" s="1658"/>
      <c r="AB51" s="1658"/>
      <c r="AC51" s="1658"/>
      <c r="AD51" s="1658"/>
      <c r="AE51" s="1658"/>
    </row>
    <row r="52" spans="23:39">
      <c r="W52" s="1658"/>
      <c r="X52" s="1658"/>
      <c r="Y52" s="1658"/>
      <c r="Z52" s="1658"/>
      <c r="AA52" s="1658"/>
      <c r="AB52" s="1658"/>
      <c r="AC52" s="1658"/>
      <c r="AD52" s="1658"/>
      <c r="AE52" s="1658"/>
    </row>
    <row r="59" spans="23:39">
      <c r="AC59" s="1658"/>
      <c r="AD59" s="1658"/>
      <c r="AE59" s="1658"/>
      <c r="AF59" s="1658"/>
      <c r="AG59" s="1658"/>
      <c r="AH59" s="1658"/>
      <c r="AI59" s="1658"/>
      <c r="AJ59" s="1658"/>
      <c r="AK59" s="1658"/>
    </row>
    <row r="60" spans="23:39">
      <c r="AC60" s="1658"/>
      <c r="AD60" s="1658"/>
      <c r="AE60" s="1658"/>
      <c r="AF60" s="1658"/>
      <c r="AG60" s="1658"/>
      <c r="AH60" s="1658"/>
      <c r="AI60" s="1658"/>
      <c r="AJ60" s="1658"/>
      <c r="AK60" s="1658"/>
    </row>
    <row r="63" spans="23:39">
      <c r="AE63" s="1658"/>
      <c r="AF63" s="1658"/>
      <c r="AG63" s="1658"/>
      <c r="AH63" s="1658"/>
      <c r="AI63" s="1658"/>
      <c r="AJ63" s="1658"/>
      <c r="AK63" s="1658"/>
      <c r="AL63" s="1658"/>
      <c r="AM63" s="1658"/>
    </row>
    <row r="64" spans="23:39">
      <c r="AE64" s="1658"/>
      <c r="AF64" s="1658"/>
      <c r="AG64" s="1658"/>
      <c r="AH64" s="1658"/>
      <c r="AI64" s="1658"/>
      <c r="AJ64" s="1658"/>
      <c r="AK64" s="1658"/>
      <c r="AL64" s="1658"/>
      <c r="AM64" s="1658"/>
    </row>
    <row r="68" spans="10:37" ht="15" customHeight="1"/>
    <row r="69" spans="10:37">
      <c r="Y69" s="1658"/>
      <c r="Z69" s="1658"/>
      <c r="AA69" s="1658"/>
      <c r="AB69" s="1658"/>
      <c r="AC69" s="1658"/>
      <c r="AD69" s="1658"/>
      <c r="AE69" s="1658"/>
      <c r="AF69" s="1658"/>
      <c r="AG69" s="1658"/>
      <c r="AH69" s="1658"/>
      <c r="AI69" s="1658"/>
      <c r="AJ69" s="1658"/>
      <c r="AK69" s="1658"/>
    </row>
    <row r="70" spans="10:37">
      <c r="Y70" s="1658"/>
      <c r="Z70" s="1658"/>
      <c r="AA70" s="1658"/>
      <c r="AB70" s="1658"/>
      <c r="AC70" s="1658"/>
      <c r="AD70" s="1658"/>
      <c r="AE70" s="1658"/>
      <c r="AF70" s="1658"/>
      <c r="AG70" s="1658"/>
      <c r="AH70" s="1658"/>
      <c r="AI70" s="1658"/>
      <c r="AJ70" s="1658"/>
      <c r="AK70" s="1658"/>
    </row>
    <row r="72" spans="10:37" ht="36" customHeight="1">
      <c r="Y72" s="1658"/>
      <c r="Z72" s="1658"/>
      <c r="AA72" s="1658"/>
      <c r="AB72" s="1658"/>
      <c r="AC72" s="1658"/>
      <c r="AD72" s="1658"/>
      <c r="AE72" s="1658"/>
      <c r="AF72" s="1658"/>
      <c r="AG72" s="1658"/>
      <c r="AH72" s="1658"/>
      <c r="AI72" s="1658"/>
      <c r="AJ72" s="1658"/>
      <c r="AK72" s="1658"/>
    </row>
    <row r="73" spans="10:37">
      <c r="Y73" s="1658"/>
      <c r="Z73" s="1658"/>
      <c r="AA73" s="1658"/>
      <c r="AB73" s="1658"/>
      <c r="AC73" s="1658"/>
      <c r="AD73" s="1658"/>
      <c r="AE73" s="1658"/>
      <c r="AF73" s="1658"/>
      <c r="AG73" s="1658"/>
      <c r="AH73" s="1658"/>
      <c r="AI73" s="1658"/>
      <c r="AJ73" s="1658"/>
      <c r="AK73" s="1658"/>
    </row>
    <row r="75" spans="10:37">
      <c r="Y75" s="1658"/>
      <c r="Z75" s="1658"/>
      <c r="AA75" s="1658"/>
      <c r="AB75" s="1658"/>
      <c r="AC75" s="1658"/>
      <c r="AD75" s="1658"/>
      <c r="AE75" s="1658"/>
      <c r="AF75" s="1658"/>
      <c r="AG75" s="1658"/>
      <c r="AH75" s="1658"/>
      <c r="AI75" s="1658"/>
      <c r="AJ75" s="1658"/>
      <c r="AK75" s="1658"/>
    </row>
    <row r="76" spans="10:37" ht="15" customHeight="1">
      <c r="Y76" s="1658"/>
      <c r="Z76" s="1658"/>
      <c r="AA76" s="1658"/>
      <c r="AB76" s="1658"/>
      <c r="AC76" s="1658"/>
      <c r="AD76" s="1658"/>
      <c r="AE76" s="1658"/>
      <c r="AF76" s="1658"/>
      <c r="AG76" s="1658"/>
      <c r="AH76" s="1658"/>
      <c r="AI76" s="1658"/>
      <c r="AJ76" s="1658"/>
      <c r="AK76" s="1658"/>
    </row>
    <row r="78" spans="10:37">
      <c r="J78" s="1194"/>
      <c r="K78" s="1194"/>
      <c r="L78" s="1194"/>
      <c r="M78" s="1194"/>
      <c r="N78" s="1194"/>
      <c r="O78" s="1194"/>
      <c r="P78" s="1194"/>
      <c r="Q78" s="1194"/>
      <c r="R78" s="1194"/>
    </row>
    <row r="103" spans="25:37">
      <c r="Y103" s="1658"/>
      <c r="Z103" s="1658"/>
      <c r="AA103" s="1658"/>
      <c r="AB103" s="1658"/>
      <c r="AC103" s="1658"/>
      <c r="AD103" s="1658"/>
      <c r="AE103" s="1658"/>
      <c r="AF103" s="1658"/>
      <c r="AG103" s="1658"/>
      <c r="AH103" s="1658"/>
      <c r="AI103" s="1658"/>
      <c r="AJ103" s="1658"/>
      <c r="AK103" s="1658"/>
    </row>
    <row r="104" spans="25:37">
      <c r="Y104" s="1658"/>
      <c r="Z104" s="1658"/>
      <c r="AA104" s="1658"/>
      <c r="AB104" s="1658"/>
      <c r="AC104" s="1658"/>
      <c r="AD104" s="1658"/>
      <c r="AE104" s="1658"/>
      <c r="AF104" s="1658"/>
      <c r="AG104" s="1658"/>
      <c r="AH104" s="1658"/>
      <c r="AI104" s="1658"/>
      <c r="AJ104" s="1658"/>
      <c r="AK104" s="1658"/>
    </row>
  </sheetData>
  <sheetProtection algorithmName="SHA-512" hashValue="fAfNlpBQw/og/upBx01Se23MSNsPocYE6Ys81QYnAQy6kyNWI3AFCpOamL60D1aUOeOUxuZQtCY0rgBLGWj7ng==" saltValue="TpXuUd6vYcEfgTKoiAbnXQ==" spinCount="100000" sheet="1" objects="1" scenarios="1"/>
  <mergeCells count="13">
    <mergeCell ref="X47:AF48"/>
    <mergeCell ref="W49:AE52"/>
    <mergeCell ref="Y75:AK76"/>
    <mergeCell ref="Y103:AK104"/>
    <mergeCell ref="AC59:AK60"/>
    <mergeCell ref="AE63:AM64"/>
    <mergeCell ref="Y72:AK73"/>
    <mergeCell ref="Y69:AK70"/>
    <mergeCell ref="C2:W3"/>
    <mergeCell ref="C9:V9"/>
    <mergeCell ref="C6:V6"/>
    <mergeCell ref="C10:V10"/>
    <mergeCell ref="X31:AF32"/>
  </mergeCells>
  <pageMargins left="0.7" right="0.7" top="0.75" bottom="0.75" header="0.3" footer="0.3"/>
  <pageSetup paperSize="9" scale="3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499984740745262"/>
  </sheetPr>
  <dimension ref="A1:C5"/>
  <sheetViews>
    <sheetView showGridLines="0" workbookViewId="0">
      <selection activeCell="J36" sqref="J36"/>
    </sheetView>
  </sheetViews>
  <sheetFormatPr defaultRowHeight="14.4"/>
  <cols>
    <col min="1" max="1" width="16.88671875" bestFit="1" customWidth="1"/>
  </cols>
  <sheetData>
    <row r="1" spans="1:3">
      <c r="A1" s="1" t="s">
        <v>52</v>
      </c>
      <c r="B1" s="1"/>
      <c r="C1" s="1"/>
    </row>
    <row r="2" spans="1:3">
      <c r="A2" s="1"/>
      <c r="B2" s="1"/>
      <c r="C2" s="1"/>
    </row>
    <row r="3" spans="1:3">
      <c r="A3" s="1" t="s">
        <v>51</v>
      </c>
      <c r="B3" s="1">
        <v>0.1</v>
      </c>
      <c r="C3" s="1" t="s">
        <v>55</v>
      </c>
    </row>
    <row r="4" spans="1:3">
      <c r="A4" s="1" t="s">
        <v>53</v>
      </c>
      <c r="B4" s="1">
        <f>33*B3</f>
        <v>3.3000000000000003</v>
      </c>
      <c r="C4" s="1" t="s">
        <v>56</v>
      </c>
    </row>
    <row r="5" spans="1:3">
      <c r="A5" s="1" t="s">
        <v>54</v>
      </c>
      <c r="B5" s="2">
        <f>B4/31</f>
        <v>0.10645161290322581</v>
      </c>
      <c r="C5" s="1" t="s">
        <v>56</v>
      </c>
    </row>
  </sheetData>
  <sheetProtection algorithmName="SHA-512" hashValue="sDNKVKdLlNZMBCXgPsxvmT7ZpoOF15FQKegnQGpXqUESX5DNBfhWvwbgQhvVEuOscVC7vgkBvzEmLN1jk+Fzmg==" saltValue="zMpP/8HsLWi65H7HiW0ZYA=="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0" tint="-0.499984740745262"/>
  </sheetPr>
  <dimension ref="A1:CI270"/>
  <sheetViews>
    <sheetView zoomScale="101" zoomScaleNormal="100" workbookViewId="0">
      <pane xSplit="2" ySplit="2" topLeftCell="C83" activePane="bottomRight" state="frozen"/>
      <selection pane="topRight" activeCell="B1" sqref="B1"/>
      <selection pane="bottomLeft" activeCell="A3" sqref="A3"/>
      <selection pane="bottomRight" activeCell="H102" sqref="H102"/>
    </sheetView>
  </sheetViews>
  <sheetFormatPr defaultColWidth="9.109375" defaultRowHeight="14.4"/>
  <cols>
    <col min="1" max="1" width="25.5546875" bestFit="1" customWidth="1"/>
    <col min="2" max="2" width="27.88671875" bestFit="1" customWidth="1"/>
    <col min="3" max="3" width="9.44140625" style="17" customWidth="1"/>
    <col min="4" max="4" width="10.44140625" style="17" customWidth="1"/>
    <col min="5" max="5" width="8.5546875" style="17" customWidth="1"/>
    <col min="6" max="6" width="7.44140625" style="17" customWidth="1"/>
    <col min="7" max="7" width="9.44140625" style="17" customWidth="1"/>
    <col min="8" max="13" width="9.109375" style="17" customWidth="1"/>
    <col min="14" max="20" width="9.109375" style="17"/>
    <col min="21" max="24" width="9.109375" style="3"/>
  </cols>
  <sheetData>
    <row r="1" spans="1:87">
      <c r="B1" t="s">
        <v>6</v>
      </c>
      <c r="C1" s="17" t="s">
        <v>7</v>
      </c>
      <c r="D1" s="17" t="s">
        <v>1</v>
      </c>
      <c r="E1" s="17" t="s">
        <v>10</v>
      </c>
      <c r="F1" s="17" t="s">
        <v>12</v>
      </c>
      <c r="G1" s="17" t="s">
        <v>13</v>
      </c>
      <c r="H1" s="17" t="s">
        <v>29</v>
      </c>
      <c r="I1" s="17" t="s">
        <v>31</v>
      </c>
      <c r="J1" s="17" t="s">
        <v>93</v>
      </c>
      <c r="K1" s="17" t="s">
        <v>91</v>
      </c>
      <c r="L1" s="17" t="s">
        <v>92</v>
      </c>
      <c r="M1" s="17" t="s">
        <v>123</v>
      </c>
      <c r="N1" s="17" t="s">
        <v>256</v>
      </c>
      <c r="O1" s="17" t="s">
        <v>258</v>
      </c>
      <c r="P1" s="17" t="s">
        <v>259</v>
      </c>
      <c r="Q1" s="17" t="s">
        <v>260</v>
      </c>
      <c r="R1" s="17" t="s">
        <v>261</v>
      </c>
      <c r="S1" s="17" t="s">
        <v>262</v>
      </c>
      <c r="T1" s="17" t="s">
        <v>263</v>
      </c>
    </row>
    <row r="2" spans="1:87">
      <c r="A2" s="15" t="s">
        <v>182</v>
      </c>
      <c r="C2" s="17" t="s">
        <v>8</v>
      </c>
      <c r="D2" s="17" t="s">
        <v>9</v>
      </c>
      <c r="E2" s="17" t="s">
        <v>11</v>
      </c>
      <c r="F2" s="17" t="s">
        <v>11</v>
      </c>
      <c r="G2" s="17" t="s">
        <v>11</v>
      </c>
      <c r="H2" s="17" t="s">
        <v>30</v>
      </c>
      <c r="I2" s="17" t="s">
        <v>11</v>
      </c>
      <c r="J2" s="17" t="s">
        <v>94</v>
      </c>
      <c r="K2" s="17" t="s">
        <v>94</v>
      </c>
      <c r="L2" s="17" t="s">
        <v>94</v>
      </c>
      <c r="M2" s="17" t="s">
        <v>124</v>
      </c>
      <c r="N2" s="17" t="s">
        <v>257</v>
      </c>
      <c r="O2" s="17" t="s">
        <v>257</v>
      </c>
      <c r="P2" s="17" t="s">
        <v>257</v>
      </c>
      <c r="Q2" s="17" t="s">
        <v>257</v>
      </c>
      <c r="R2" s="17" t="s">
        <v>257</v>
      </c>
      <c r="S2" s="17" t="s">
        <v>257</v>
      </c>
      <c r="T2" s="17" t="s">
        <v>257</v>
      </c>
    </row>
    <row r="3" spans="1:87">
      <c r="A3" s="653" t="s">
        <v>191</v>
      </c>
      <c r="B3" s="42"/>
      <c r="C3" s="1235"/>
      <c r="D3" s="1236"/>
      <c r="E3" s="1236"/>
      <c r="F3" s="1236"/>
      <c r="G3" s="1236"/>
      <c r="H3" s="1236"/>
      <c r="I3" s="1236"/>
      <c r="J3" s="1236"/>
      <c r="K3" s="1236"/>
      <c r="L3" s="1236"/>
      <c r="M3" s="1236"/>
      <c r="N3" s="1236"/>
      <c r="O3" s="1236"/>
      <c r="P3" s="1236"/>
      <c r="Q3" s="1236"/>
      <c r="R3" s="1236"/>
      <c r="S3" s="1236"/>
      <c r="T3" s="1236"/>
      <c r="U3" s="605"/>
      <c r="V3" s="605"/>
      <c r="W3" s="605"/>
      <c r="X3" s="605"/>
    </row>
    <row r="4" spans="1:87">
      <c r="B4" t="s">
        <v>416</v>
      </c>
      <c r="C4" s="879">
        <v>16</v>
      </c>
      <c r="D4" s="67">
        <v>11</v>
      </c>
      <c r="E4" s="67">
        <v>17</v>
      </c>
      <c r="F4" s="67">
        <v>44</v>
      </c>
      <c r="G4" s="67">
        <v>16</v>
      </c>
      <c r="H4" s="67">
        <v>3</v>
      </c>
      <c r="I4" s="67">
        <v>4</v>
      </c>
      <c r="J4" s="67">
        <v>0</v>
      </c>
      <c r="K4" s="67">
        <v>0</v>
      </c>
      <c r="L4" s="67">
        <v>0</v>
      </c>
      <c r="M4" s="67" t="s">
        <v>125</v>
      </c>
      <c r="N4" s="879">
        <v>0.35</v>
      </c>
      <c r="O4" s="879">
        <v>3.6</v>
      </c>
      <c r="P4" s="879">
        <v>1.3</v>
      </c>
      <c r="Q4" s="879">
        <v>0.4</v>
      </c>
      <c r="R4" s="879">
        <v>0.25</v>
      </c>
      <c r="S4" s="879">
        <v>0.45</v>
      </c>
      <c r="T4" s="879">
        <v>0.4</v>
      </c>
      <c r="U4" s="605"/>
      <c r="V4" s="605"/>
      <c r="W4" s="605"/>
      <c r="X4" s="605"/>
    </row>
    <row r="5" spans="1:87">
      <c r="B5" t="s">
        <v>462</v>
      </c>
      <c r="C5" s="1237">
        <v>17</v>
      </c>
      <c r="D5" s="1238">
        <v>12</v>
      </c>
      <c r="E5" s="1238">
        <v>25</v>
      </c>
      <c r="F5" s="1238">
        <v>43</v>
      </c>
      <c r="G5" s="1238">
        <v>19</v>
      </c>
      <c r="H5" s="1238">
        <v>3</v>
      </c>
      <c r="I5" s="1238">
        <v>4</v>
      </c>
      <c r="J5" s="1238">
        <v>0</v>
      </c>
      <c r="K5" s="1238">
        <v>0</v>
      </c>
      <c r="L5" s="1238">
        <v>0</v>
      </c>
      <c r="M5" s="1238" t="s">
        <v>125</v>
      </c>
      <c r="N5" s="1237">
        <v>0.35</v>
      </c>
      <c r="O5" s="1237">
        <v>3.6</v>
      </c>
      <c r="P5" s="1237">
        <v>1.3</v>
      </c>
      <c r="Q5" s="1237">
        <v>0.4</v>
      </c>
      <c r="R5" s="1237">
        <v>0.25</v>
      </c>
      <c r="S5" s="879">
        <v>0.45</v>
      </c>
      <c r="T5" s="1237">
        <v>0.4</v>
      </c>
      <c r="U5" s="605"/>
      <c r="V5" s="605"/>
      <c r="W5" s="605"/>
      <c r="X5" s="605"/>
    </row>
    <row r="6" spans="1:87">
      <c r="B6" t="s">
        <v>417</v>
      </c>
      <c r="C6" s="879">
        <v>14.000000000000002</v>
      </c>
      <c r="D6" s="67">
        <v>12</v>
      </c>
      <c r="E6" s="67">
        <v>27</v>
      </c>
      <c r="F6" s="67">
        <v>41</v>
      </c>
      <c r="G6" s="67">
        <v>16</v>
      </c>
      <c r="H6" s="67">
        <v>3</v>
      </c>
      <c r="I6" s="67">
        <v>4</v>
      </c>
      <c r="J6" s="67">
        <v>25</v>
      </c>
      <c r="K6" s="67">
        <v>37.5</v>
      </c>
      <c r="L6" s="67">
        <f>100-J6</f>
        <v>75</v>
      </c>
      <c r="M6" s="67" t="s">
        <v>125</v>
      </c>
      <c r="N6" s="879">
        <v>0.35</v>
      </c>
      <c r="O6" s="879">
        <v>3.6</v>
      </c>
      <c r="P6" s="879">
        <v>1.3</v>
      </c>
      <c r="Q6" s="879">
        <v>0.4</v>
      </c>
      <c r="R6" s="879">
        <v>0.25</v>
      </c>
      <c r="S6" s="879">
        <v>0.7</v>
      </c>
      <c r="T6" s="879">
        <v>0.4</v>
      </c>
      <c r="U6" s="605"/>
      <c r="V6" s="605"/>
      <c r="W6" s="605"/>
      <c r="X6" s="605"/>
      <c r="Y6" t="s">
        <v>98</v>
      </c>
    </row>
    <row r="7" spans="1:87">
      <c r="B7" t="s">
        <v>463</v>
      </c>
      <c r="C7" s="1237">
        <v>17</v>
      </c>
      <c r="D7" s="1238">
        <v>12</v>
      </c>
      <c r="E7" s="1238">
        <v>24</v>
      </c>
      <c r="F7" s="1238">
        <v>40</v>
      </c>
      <c r="G7" s="1238">
        <v>20</v>
      </c>
      <c r="H7" s="1238">
        <v>3</v>
      </c>
      <c r="I7" s="1238">
        <v>4</v>
      </c>
      <c r="J7" s="1238">
        <v>25</v>
      </c>
      <c r="K7" s="1238">
        <v>37.5</v>
      </c>
      <c r="L7" s="1238">
        <v>75</v>
      </c>
      <c r="M7" s="1238" t="s">
        <v>125</v>
      </c>
      <c r="N7" s="1237">
        <v>0.35</v>
      </c>
      <c r="O7" s="1237">
        <v>3.6</v>
      </c>
      <c r="P7" s="1237">
        <v>1.3</v>
      </c>
      <c r="Q7" s="1237">
        <v>0.4</v>
      </c>
      <c r="R7" s="1237">
        <v>0.25</v>
      </c>
      <c r="S7" s="879">
        <v>0.7</v>
      </c>
      <c r="T7" s="1237">
        <v>0.4</v>
      </c>
      <c r="U7" s="605"/>
      <c r="V7" s="605"/>
      <c r="W7" s="605"/>
      <c r="X7" s="605"/>
      <c r="Y7" t="s">
        <v>101</v>
      </c>
    </row>
    <row r="8" spans="1:87">
      <c r="B8" t="s">
        <v>419</v>
      </c>
      <c r="C8" s="1237">
        <v>17</v>
      </c>
      <c r="D8" s="1238">
        <v>11</v>
      </c>
      <c r="E8" s="1238">
        <v>18</v>
      </c>
      <c r="F8" s="1238">
        <v>47</v>
      </c>
      <c r="G8" s="1238">
        <v>16</v>
      </c>
      <c r="H8" s="1238">
        <v>3</v>
      </c>
      <c r="I8" s="1238">
        <v>4</v>
      </c>
      <c r="J8" s="1238">
        <v>30</v>
      </c>
      <c r="K8" s="1238">
        <v>27.5</v>
      </c>
      <c r="L8" s="1238">
        <f>100-J8</f>
        <v>70</v>
      </c>
      <c r="M8" s="1238" t="s">
        <v>125</v>
      </c>
      <c r="N8" s="1237">
        <v>0.35</v>
      </c>
      <c r="O8" s="1237">
        <v>3.6</v>
      </c>
      <c r="P8" s="1237">
        <v>1.3</v>
      </c>
      <c r="Q8" s="1237">
        <v>0.4</v>
      </c>
      <c r="R8" s="1237">
        <v>0.25</v>
      </c>
      <c r="S8" s="879">
        <v>0.5</v>
      </c>
      <c r="T8" s="1237">
        <v>0.4</v>
      </c>
      <c r="U8" s="605"/>
      <c r="V8" s="605"/>
      <c r="W8" s="605"/>
      <c r="X8" s="605"/>
      <c r="Y8" t="s">
        <v>98</v>
      </c>
    </row>
    <row r="9" spans="1:87">
      <c r="B9" t="s">
        <v>464</v>
      </c>
      <c r="C9" s="1235">
        <v>17</v>
      </c>
      <c r="D9" s="1236">
        <v>12</v>
      </c>
      <c r="E9" s="1236">
        <v>24</v>
      </c>
      <c r="F9" s="1236">
        <v>43</v>
      </c>
      <c r="G9" s="1236">
        <v>20</v>
      </c>
      <c r="H9" s="1236">
        <v>3</v>
      </c>
      <c r="I9" s="1236">
        <v>4</v>
      </c>
      <c r="J9" s="1239">
        <v>30</v>
      </c>
      <c r="K9" s="1239">
        <v>27.5</v>
      </c>
      <c r="L9" s="1239">
        <v>70</v>
      </c>
      <c r="M9" s="1236" t="s">
        <v>125</v>
      </c>
      <c r="N9" s="1235">
        <v>0.35</v>
      </c>
      <c r="O9" s="1235">
        <v>3.6</v>
      </c>
      <c r="P9" s="1235">
        <v>1.3</v>
      </c>
      <c r="Q9" s="1235">
        <v>0.4</v>
      </c>
      <c r="R9" s="1235">
        <v>0.25</v>
      </c>
      <c r="S9" s="879">
        <v>0.5</v>
      </c>
      <c r="T9" s="1235">
        <v>0.4</v>
      </c>
      <c r="U9" s="605"/>
      <c r="V9" s="605"/>
      <c r="W9" s="605"/>
      <c r="X9" s="605"/>
      <c r="Y9" t="s">
        <v>101</v>
      </c>
    </row>
    <row r="10" spans="1:87">
      <c r="B10" t="s">
        <v>420</v>
      </c>
      <c r="C10" s="1235">
        <v>25</v>
      </c>
      <c r="D10" s="1236">
        <v>10</v>
      </c>
      <c r="E10" s="1236">
        <v>15</v>
      </c>
      <c r="F10" s="1236">
        <v>50</v>
      </c>
      <c r="G10" s="1236">
        <v>9</v>
      </c>
      <c r="H10" s="1236">
        <v>3</v>
      </c>
      <c r="I10" s="1236">
        <v>3</v>
      </c>
      <c r="J10" s="1236">
        <v>40</v>
      </c>
      <c r="K10" s="1236">
        <v>20</v>
      </c>
      <c r="L10" s="1236">
        <f>100-J10</f>
        <v>60</v>
      </c>
      <c r="M10" s="1236" t="s">
        <v>125</v>
      </c>
      <c r="N10" s="1235">
        <v>0.35</v>
      </c>
      <c r="O10" s="1235">
        <v>3.6</v>
      </c>
      <c r="P10" s="1235">
        <v>1.3</v>
      </c>
      <c r="Q10" s="1235">
        <v>0.4</v>
      </c>
      <c r="R10" s="1235">
        <v>0.25</v>
      </c>
      <c r="S10" s="879">
        <v>0.5</v>
      </c>
      <c r="T10" s="1235">
        <v>0.4</v>
      </c>
      <c r="U10" s="605"/>
      <c r="V10" s="605"/>
      <c r="W10" s="605"/>
      <c r="X10" s="605"/>
      <c r="Y10" t="s">
        <v>98</v>
      </c>
    </row>
    <row r="11" spans="1:87">
      <c r="B11" t="s">
        <v>418</v>
      </c>
      <c r="C11" s="1237">
        <v>25</v>
      </c>
      <c r="D11" s="1238">
        <v>10</v>
      </c>
      <c r="E11" s="1238">
        <v>18</v>
      </c>
      <c r="F11" s="1238">
        <v>70</v>
      </c>
      <c r="G11" s="1238">
        <v>4.5</v>
      </c>
      <c r="H11" s="1238">
        <v>90</v>
      </c>
      <c r="I11" s="1238">
        <v>0</v>
      </c>
      <c r="J11" s="1238">
        <v>0</v>
      </c>
      <c r="K11" s="1238">
        <v>0</v>
      </c>
      <c r="L11" s="1238">
        <v>0</v>
      </c>
      <c r="M11" s="1238" t="s">
        <v>125</v>
      </c>
      <c r="N11" s="1237">
        <v>0.35</v>
      </c>
      <c r="O11" s="1237">
        <v>3.6</v>
      </c>
      <c r="P11" s="1237">
        <v>1.3</v>
      </c>
      <c r="Q11" s="1237">
        <v>0.4</v>
      </c>
      <c r="R11" s="1237">
        <v>0.25</v>
      </c>
      <c r="S11" s="879">
        <v>0.5</v>
      </c>
      <c r="T11" s="1237">
        <v>0.4</v>
      </c>
      <c r="U11" s="605"/>
      <c r="V11" s="605"/>
      <c r="W11" s="605"/>
      <c r="X11" s="605"/>
    </row>
    <row r="12" spans="1:87">
      <c r="B12" t="s">
        <v>421</v>
      </c>
      <c r="C12" s="1235">
        <v>50</v>
      </c>
      <c r="D12" s="1236">
        <v>8</v>
      </c>
      <c r="E12" s="1236">
        <v>8</v>
      </c>
      <c r="F12" s="1236">
        <v>65</v>
      </c>
      <c r="G12" s="1236">
        <v>4.5</v>
      </c>
      <c r="H12" s="1236">
        <v>90</v>
      </c>
      <c r="I12" s="1236">
        <v>0</v>
      </c>
      <c r="J12" s="1239">
        <v>0</v>
      </c>
      <c r="K12" s="1239">
        <v>0</v>
      </c>
      <c r="L12" s="1239">
        <v>0</v>
      </c>
      <c r="M12" s="1236" t="s">
        <v>125</v>
      </c>
      <c r="N12" s="1235">
        <v>0.35</v>
      </c>
      <c r="O12" s="1235">
        <v>3.6</v>
      </c>
      <c r="P12" s="1235">
        <v>1.3</v>
      </c>
      <c r="Q12" s="1235">
        <v>0.4</v>
      </c>
      <c r="R12" s="1235">
        <v>0.25</v>
      </c>
      <c r="S12" s="879">
        <v>0.5</v>
      </c>
      <c r="T12" s="1235">
        <v>0.4</v>
      </c>
      <c r="U12" s="605"/>
      <c r="V12" s="605"/>
      <c r="W12" s="605"/>
      <c r="X12" s="605"/>
      <c r="CI12" t="e">
        <f>IF($CI$10&gt;=12,0,IF($CI$10&lt;=2,VLOOKUP($H$8,'Data source'!B190:H199,7,IF($CI$10&lt;=4,VLOOKUP($H$8,'Data source'!B190:H199,6,IF($CI$10&lt;=8,VLOOKUP($H$8,'Data source'!B190:H199,5,IF($CI$10&lt;=12,VLOOKUP($H$8,'Data source'!B190:H199,4,FALSE)))))))))</f>
        <v>#N/A</v>
      </c>
    </row>
    <row r="13" spans="1:87">
      <c r="B13" s="916" t="s">
        <v>456</v>
      </c>
      <c r="C13" s="1235"/>
      <c r="D13" s="1236"/>
      <c r="E13" s="1236"/>
      <c r="F13" s="1236"/>
      <c r="G13" s="1236"/>
      <c r="H13" s="1236"/>
      <c r="M13" s="1236"/>
      <c r="N13" s="1235"/>
      <c r="O13" s="1235"/>
      <c r="P13" s="1235"/>
      <c r="Q13" s="1235"/>
      <c r="R13" s="1235"/>
      <c r="S13" s="1235"/>
      <c r="T13" s="1235"/>
      <c r="U13" s="605"/>
      <c r="V13" s="605"/>
      <c r="W13" s="605"/>
      <c r="X13" s="605"/>
    </row>
    <row r="14" spans="1:87">
      <c r="B14" s="916" t="s">
        <v>456</v>
      </c>
      <c r="C14" s="1235"/>
      <c r="D14" s="1236"/>
      <c r="E14" s="1236"/>
      <c r="F14" s="1236"/>
      <c r="G14" s="1236"/>
      <c r="H14" s="1236"/>
      <c r="M14" s="1236"/>
      <c r="N14" s="1235"/>
      <c r="O14" s="1235"/>
      <c r="P14" s="1235"/>
      <c r="Q14" s="1235"/>
      <c r="R14" s="1235"/>
      <c r="S14" s="1235"/>
      <c r="T14" s="1235"/>
      <c r="U14" s="605"/>
      <c r="V14" s="605"/>
      <c r="W14" s="605"/>
      <c r="X14" s="605"/>
    </row>
    <row r="15" spans="1:87">
      <c r="A15" s="656" t="s">
        <v>285</v>
      </c>
      <c r="B15" s="42"/>
      <c r="C15" s="1235"/>
      <c r="D15" s="1236"/>
      <c r="E15" s="1236"/>
      <c r="F15" s="1236"/>
      <c r="G15" s="1236"/>
      <c r="H15" s="1236"/>
      <c r="I15" s="1236"/>
      <c r="L15" s="1236"/>
      <c r="M15" s="1236"/>
      <c r="N15" s="1235"/>
      <c r="O15" s="1235"/>
      <c r="P15" s="1235"/>
      <c r="Q15" s="1235"/>
      <c r="R15" s="1235"/>
      <c r="S15" s="1235"/>
      <c r="T15" s="1235"/>
      <c r="U15" s="605"/>
      <c r="V15" s="605"/>
      <c r="W15" s="605"/>
      <c r="X15" s="605"/>
    </row>
    <row r="16" spans="1:87">
      <c r="B16" t="s">
        <v>414</v>
      </c>
      <c r="C16" s="740">
        <v>85</v>
      </c>
      <c r="D16" s="67">
        <v>9.6999999999999993</v>
      </c>
      <c r="E16" s="130">
        <v>17</v>
      </c>
      <c r="F16" s="67">
        <v>54</v>
      </c>
      <c r="G16" s="67">
        <v>18</v>
      </c>
      <c r="H16" s="67">
        <v>44</v>
      </c>
      <c r="I16" s="67">
        <v>2.6</v>
      </c>
      <c r="J16" s="67">
        <v>31</v>
      </c>
      <c r="K16" s="67">
        <v>31</v>
      </c>
      <c r="L16" s="67">
        <f t="shared" ref="L16:L22" si="0">100-J16</f>
        <v>69</v>
      </c>
      <c r="M16" s="67" t="s">
        <v>125</v>
      </c>
      <c r="N16" s="105">
        <v>0.2</v>
      </c>
      <c r="O16" s="105">
        <v>2.3199999999999998</v>
      </c>
      <c r="P16" s="879">
        <v>0.62</v>
      </c>
      <c r="Q16" s="879">
        <v>0.26</v>
      </c>
      <c r="R16" s="879">
        <v>0.2</v>
      </c>
      <c r="S16" s="105">
        <v>0.8</v>
      </c>
      <c r="T16" s="879">
        <v>0.4</v>
      </c>
      <c r="U16" s="651" t="s">
        <v>316</v>
      </c>
      <c r="V16" s="605"/>
      <c r="W16" s="605"/>
      <c r="X16" s="605"/>
    </row>
    <row r="17" spans="1:25">
      <c r="B17" t="s">
        <v>415</v>
      </c>
      <c r="C17" s="1240">
        <v>85</v>
      </c>
      <c r="D17" s="1238">
        <v>7.3</v>
      </c>
      <c r="E17" s="1238">
        <v>7</v>
      </c>
      <c r="F17" s="1238">
        <v>66</v>
      </c>
      <c r="G17" s="1238">
        <v>15</v>
      </c>
      <c r="H17" s="1238">
        <v>45</v>
      </c>
      <c r="I17" s="1238">
        <v>2.6</v>
      </c>
      <c r="J17" s="1241">
        <v>37</v>
      </c>
      <c r="K17" s="1241">
        <v>29</v>
      </c>
      <c r="L17" s="1241">
        <f t="shared" si="0"/>
        <v>63</v>
      </c>
      <c r="M17" s="1236" t="s">
        <v>125</v>
      </c>
      <c r="N17" s="1237">
        <v>0.15</v>
      </c>
      <c r="O17" s="1237">
        <v>1.67</v>
      </c>
      <c r="P17" s="1237">
        <v>0.6</v>
      </c>
      <c r="Q17" s="1237">
        <v>0.2</v>
      </c>
      <c r="R17" s="1237">
        <v>0.18</v>
      </c>
      <c r="S17" s="1237">
        <v>0.4</v>
      </c>
      <c r="T17" s="1237">
        <v>0.3</v>
      </c>
      <c r="U17" s="651" t="s">
        <v>316</v>
      </c>
      <c r="V17" s="605"/>
      <c r="W17" s="605"/>
      <c r="X17" s="605"/>
    </row>
    <row r="18" spans="1:25">
      <c r="B18" t="s">
        <v>549</v>
      </c>
      <c r="C18" s="740">
        <v>88</v>
      </c>
      <c r="D18" s="67">
        <v>7</v>
      </c>
      <c r="E18" s="67">
        <v>5</v>
      </c>
      <c r="F18" s="67">
        <v>80</v>
      </c>
      <c r="G18" s="67">
        <v>8</v>
      </c>
      <c r="H18" s="67">
        <v>100</v>
      </c>
      <c r="I18" s="67">
        <v>2</v>
      </c>
      <c r="J18" s="67">
        <v>76</v>
      </c>
      <c r="K18" s="67">
        <v>20</v>
      </c>
      <c r="L18" s="67">
        <f t="shared" si="0"/>
        <v>24</v>
      </c>
      <c r="M18" s="67" t="s">
        <v>125</v>
      </c>
      <c r="N18" s="879">
        <v>0.1</v>
      </c>
      <c r="O18" s="879">
        <v>2</v>
      </c>
      <c r="P18" s="879">
        <v>0.67</v>
      </c>
      <c r="Q18" s="879">
        <v>0.17</v>
      </c>
      <c r="R18" s="879">
        <v>0.23</v>
      </c>
      <c r="S18" s="879">
        <v>0.3</v>
      </c>
      <c r="T18" s="879">
        <v>0.1</v>
      </c>
      <c r="U18" s="651" t="s">
        <v>284</v>
      </c>
      <c r="V18" s="605"/>
      <c r="W18" s="605"/>
      <c r="X18" s="605"/>
      <c r="Y18" t="s">
        <v>98</v>
      </c>
    </row>
    <row r="19" spans="1:25">
      <c r="B19" t="s">
        <v>465</v>
      </c>
      <c r="C19" s="1240">
        <v>23</v>
      </c>
      <c r="D19" s="1238">
        <v>10</v>
      </c>
      <c r="E19" s="1238">
        <v>17</v>
      </c>
      <c r="F19" s="1238">
        <v>45</v>
      </c>
      <c r="G19" s="1238">
        <v>22</v>
      </c>
      <c r="H19" s="1238">
        <v>7</v>
      </c>
      <c r="I19" s="1238">
        <v>3</v>
      </c>
      <c r="J19" s="1238">
        <v>22</v>
      </c>
      <c r="K19" s="1238">
        <v>52</v>
      </c>
      <c r="L19" s="1238">
        <f t="shared" si="0"/>
        <v>78</v>
      </c>
      <c r="M19" s="1238" t="s">
        <v>125</v>
      </c>
      <c r="N19" s="1237">
        <v>0.1</v>
      </c>
      <c r="O19" s="1237">
        <v>2.2999999999999998</v>
      </c>
      <c r="P19" s="1237">
        <v>0.2</v>
      </c>
      <c r="Q19" s="1237">
        <v>0.24</v>
      </c>
      <c r="R19" s="1237">
        <v>0.21</v>
      </c>
      <c r="S19" s="1237">
        <v>0.3</v>
      </c>
      <c r="T19" s="1237">
        <v>0.3</v>
      </c>
      <c r="U19" s="651" t="s">
        <v>316</v>
      </c>
      <c r="V19" s="605"/>
      <c r="W19" s="605"/>
      <c r="X19" s="605"/>
    </row>
    <row r="20" spans="1:25">
      <c r="B20" t="s">
        <v>470</v>
      </c>
      <c r="C20" s="740">
        <v>38</v>
      </c>
      <c r="D20" s="67">
        <v>9</v>
      </c>
      <c r="E20" s="67">
        <v>15</v>
      </c>
      <c r="F20" s="67">
        <v>55</v>
      </c>
      <c r="G20" s="67">
        <v>15</v>
      </c>
      <c r="H20" s="67">
        <v>8</v>
      </c>
      <c r="I20" s="67">
        <v>3.1</v>
      </c>
      <c r="J20" s="67">
        <v>29</v>
      </c>
      <c r="K20" s="67">
        <v>44</v>
      </c>
      <c r="L20" s="67">
        <f t="shared" si="0"/>
        <v>71</v>
      </c>
      <c r="M20" s="67" t="s">
        <v>125</v>
      </c>
      <c r="N20" s="879">
        <v>0.16</v>
      </c>
      <c r="O20" s="879">
        <v>2</v>
      </c>
      <c r="P20" s="879">
        <v>0.19</v>
      </c>
      <c r="Q20" s="879">
        <v>0.2</v>
      </c>
      <c r="R20" s="879">
        <v>0.14000000000000001</v>
      </c>
      <c r="S20" s="879">
        <v>0.55000000000000004</v>
      </c>
      <c r="T20" s="879">
        <v>0.28000000000000003</v>
      </c>
      <c r="U20" s="651" t="s">
        <v>316</v>
      </c>
      <c r="V20" s="605"/>
      <c r="W20" s="605"/>
      <c r="X20" s="605"/>
    </row>
    <row r="21" spans="1:25">
      <c r="B21" t="s">
        <v>467</v>
      </c>
      <c r="C21" s="1240">
        <v>35</v>
      </c>
      <c r="D21" s="1238">
        <v>11</v>
      </c>
      <c r="E21" s="1238">
        <v>8</v>
      </c>
      <c r="F21" s="1238">
        <v>43</v>
      </c>
      <c r="G21" s="1238">
        <v>35</v>
      </c>
      <c r="H21" s="1238">
        <v>77</v>
      </c>
      <c r="I21" s="1238">
        <v>3</v>
      </c>
      <c r="J21" s="1238">
        <v>31</v>
      </c>
      <c r="K21" s="1238">
        <v>48</v>
      </c>
      <c r="L21" s="1238">
        <f t="shared" si="0"/>
        <v>69</v>
      </c>
      <c r="M21" s="1238" t="s">
        <v>125</v>
      </c>
      <c r="N21" s="1237">
        <v>0.01</v>
      </c>
      <c r="O21" s="1237">
        <v>1.2</v>
      </c>
      <c r="P21" s="1237">
        <v>0.4</v>
      </c>
      <c r="Q21" s="1237">
        <v>0.13</v>
      </c>
      <c r="R21" s="1237">
        <v>0.18</v>
      </c>
      <c r="S21" s="1237">
        <v>0.23</v>
      </c>
      <c r="T21" s="1237">
        <v>0.25</v>
      </c>
      <c r="U21" s="651" t="s">
        <v>282</v>
      </c>
      <c r="V21" s="605"/>
      <c r="W21" s="605"/>
      <c r="X21" s="605"/>
      <c r="Y21" t="s">
        <v>98</v>
      </c>
    </row>
    <row r="22" spans="1:25">
      <c r="B22" t="s">
        <v>466</v>
      </c>
      <c r="C22" s="740">
        <v>31</v>
      </c>
      <c r="D22" s="67">
        <v>10</v>
      </c>
      <c r="E22" s="67">
        <v>8</v>
      </c>
      <c r="F22" s="67">
        <v>47</v>
      </c>
      <c r="G22" s="67">
        <v>30</v>
      </c>
      <c r="H22" s="67">
        <v>75</v>
      </c>
      <c r="I22" s="67">
        <v>3</v>
      </c>
      <c r="J22" s="67">
        <v>18.5</v>
      </c>
      <c r="K22" s="67">
        <v>57.8</v>
      </c>
      <c r="L22" s="67">
        <f t="shared" si="0"/>
        <v>81.5</v>
      </c>
      <c r="M22" s="67" t="s">
        <v>125</v>
      </c>
      <c r="N22" s="879">
        <v>0.01</v>
      </c>
      <c r="O22" s="879">
        <v>1.2</v>
      </c>
      <c r="P22" s="879">
        <v>0.4</v>
      </c>
      <c r="Q22" s="879">
        <v>0.13</v>
      </c>
      <c r="R22" s="879">
        <v>0.18</v>
      </c>
      <c r="S22" s="879">
        <v>0.23</v>
      </c>
      <c r="T22" s="879">
        <v>0.25</v>
      </c>
      <c r="U22" s="605"/>
      <c r="V22" s="605"/>
      <c r="W22" s="605"/>
      <c r="X22" s="605"/>
      <c r="Y22" t="s">
        <v>99</v>
      </c>
    </row>
    <row r="23" spans="1:25">
      <c r="B23" t="s">
        <v>468</v>
      </c>
      <c r="C23" s="1240">
        <v>37</v>
      </c>
      <c r="D23" s="1238">
        <v>10</v>
      </c>
      <c r="E23" s="1238">
        <v>8</v>
      </c>
      <c r="F23" s="1238">
        <v>57</v>
      </c>
      <c r="G23" s="1238">
        <v>23</v>
      </c>
      <c r="H23" s="1238">
        <v>77</v>
      </c>
      <c r="I23" s="1238">
        <v>4</v>
      </c>
      <c r="J23" s="1238">
        <v>0</v>
      </c>
      <c r="K23" s="1238">
        <v>0</v>
      </c>
      <c r="L23" s="1238">
        <v>0</v>
      </c>
      <c r="M23" s="1238" t="s">
        <v>125</v>
      </c>
      <c r="N23" s="1237">
        <v>7.0000000000000007E-2</v>
      </c>
      <c r="O23" s="1237">
        <v>2.85</v>
      </c>
      <c r="P23" s="1237">
        <v>7.0000000000000007E-2</v>
      </c>
      <c r="Q23" s="1237">
        <v>0.25</v>
      </c>
      <c r="R23" s="1237">
        <v>0.2</v>
      </c>
      <c r="S23" s="1237">
        <v>0.32</v>
      </c>
      <c r="T23" s="1237">
        <v>0.56999999999999995</v>
      </c>
      <c r="U23" s="651" t="s">
        <v>283</v>
      </c>
      <c r="V23" s="605"/>
      <c r="W23" s="605"/>
      <c r="X23" s="605"/>
    </row>
    <row r="24" spans="1:25">
      <c r="B24" t="s">
        <v>469</v>
      </c>
      <c r="C24" s="740">
        <v>20</v>
      </c>
      <c r="D24" s="67">
        <v>9.5</v>
      </c>
      <c r="E24" s="67">
        <v>20</v>
      </c>
      <c r="F24" s="67">
        <v>51</v>
      </c>
      <c r="G24" s="67">
        <v>17</v>
      </c>
      <c r="H24" s="67">
        <v>45</v>
      </c>
      <c r="I24" s="67">
        <v>3.5</v>
      </c>
      <c r="J24" s="67">
        <v>23</v>
      </c>
      <c r="K24" s="67">
        <v>54</v>
      </c>
      <c r="L24" s="67">
        <f>100-J24</f>
        <v>77</v>
      </c>
      <c r="M24" s="67" t="s">
        <v>125</v>
      </c>
      <c r="N24" s="879">
        <v>0.05</v>
      </c>
      <c r="O24" s="879">
        <v>2.84</v>
      </c>
      <c r="P24" s="879">
        <v>0.34</v>
      </c>
      <c r="Q24" s="879">
        <v>0.28999999999999998</v>
      </c>
      <c r="R24" s="879">
        <v>0.25</v>
      </c>
      <c r="S24" s="879">
        <v>1.29</v>
      </c>
      <c r="T24" s="879">
        <v>0.28999999999999998</v>
      </c>
      <c r="U24" s="651" t="s">
        <v>316</v>
      </c>
      <c r="V24" s="605"/>
      <c r="W24" s="605"/>
      <c r="X24" s="605"/>
      <c r="Y24" t="s">
        <v>98</v>
      </c>
    </row>
    <row r="25" spans="1:25">
      <c r="B25" t="s">
        <v>628</v>
      </c>
      <c r="C25" s="17">
        <v>36</v>
      </c>
      <c r="D25" s="17">
        <v>10.5</v>
      </c>
      <c r="E25" s="17">
        <v>13</v>
      </c>
      <c r="F25" s="17">
        <v>59</v>
      </c>
      <c r="G25" s="17">
        <v>16.100000000000001</v>
      </c>
      <c r="H25" s="17">
        <v>100</v>
      </c>
      <c r="I25" s="17">
        <v>3.6</v>
      </c>
      <c r="J25" s="17">
        <v>0</v>
      </c>
      <c r="K25" s="17">
        <v>0</v>
      </c>
      <c r="L25" s="17">
        <v>0</v>
      </c>
      <c r="M25" s="17" t="s">
        <v>489</v>
      </c>
      <c r="N25" s="17">
        <v>7.0000000000000007E-2</v>
      </c>
      <c r="O25" s="17">
        <v>2.85</v>
      </c>
      <c r="P25" s="17">
        <v>7.0000000000000007E-2</v>
      </c>
      <c r="Q25" s="17">
        <v>0.25</v>
      </c>
      <c r="R25" s="17">
        <v>0.2</v>
      </c>
      <c r="S25" s="17">
        <v>0.56999999999999995</v>
      </c>
      <c r="T25" s="17">
        <v>0.32</v>
      </c>
      <c r="U25" s="3" t="s">
        <v>490</v>
      </c>
    </row>
    <row r="26" spans="1:25">
      <c r="B26" t="s">
        <v>5</v>
      </c>
      <c r="C26" s="1240">
        <v>40</v>
      </c>
      <c r="D26" s="1238">
        <v>10.5</v>
      </c>
      <c r="E26" s="1238">
        <v>15</v>
      </c>
      <c r="F26" s="1238">
        <v>50</v>
      </c>
      <c r="G26" s="1238">
        <v>8</v>
      </c>
      <c r="H26" s="1238">
        <v>3</v>
      </c>
      <c r="I26" s="1238">
        <v>3</v>
      </c>
      <c r="J26" s="1238">
        <v>0</v>
      </c>
      <c r="K26" s="1238">
        <v>0</v>
      </c>
      <c r="L26" s="1238">
        <v>0</v>
      </c>
      <c r="M26" s="1238" t="s">
        <v>125</v>
      </c>
      <c r="N26" s="1237">
        <v>0.46</v>
      </c>
      <c r="O26" s="1237">
        <v>1.79</v>
      </c>
      <c r="P26" s="1237">
        <v>0.28999999999999998</v>
      </c>
      <c r="Q26" s="1237">
        <v>0.06</v>
      </c>
      <c r="R26" s="1237">
        <v>0.12</v>
      </c>
      <c r="S26" s="1237">
        <v>0.18</v>
      </c>
      <c r="T26" s="1242">
        <v>0.4</v>
      </c>
      <c r="V26" s="605"/>
      <c r="W26" s="605"/>
      <c r="X26" s="605"/>
    </row>
    <row r="27" spans="1:25">
      <c r="B27" s="916" t="s">
        <v>456</v>
      </c>
      <c r="C27" s="1243"/>
      <c r="D27" s="1236"/>
      <c r="E27" s="1236"/>
      <c r="F27" s="1236"/>
      <c r="G27" s="1236"/>
      <c r="H27" s="1236"/>
      <c r="J27" s="1236"/>
      <c r="K27" s="1236"/>
      <c r="L27" s="1236"/>
      <c r="M27" s="1236"/>
      <c r="N27" s="1235"/>
      <c r="O27" s="1235"/>
      <c r="P27" s="1235"/>
      <c r="Q27" s="1235"/>
      <c r="R27" s="1235"/>
      <c r="S27" s="1235"/>
      <c r="V27" s="605"/>
      <c r="W27" s="605"/>
      <c r="X27" s="605"/>
    </row>
    <row r="28" spans="1:25">
      <c r="A28" s="653" t="s">
        <v>286</v>
      </c>
      <c r="B28" s="42"/>
      <c r="C28" s="1235"/>
      <c r="D28" s="1236"/>
      <c r="E28" s="1236"/>
      <c r="F28" s="1236"/>
      <c r="G28" s="1236"/>
      <c r="H28" s="1236"/>
      <c r="I28" s="1236"/>
      <c r="M28" s="1236"/>
      <c r="N28" s="1235"/>
      <c r="O28" s="1235"/>
      <c r="P28" s="1235"/>
      <c r="Q28" s="1235"/>
      <c r="R28" s="1235"/>
      <c r="S28" s="1235"/>
      <c r="T28" s="1235"/>
      <c r="U28" s="605"/>
      <c r="V28" s="605"/>
      <c r="W28" s="605"/>
      <c r="X28" s="605"/>
    </row>
    <row r="29" spans="1:25">
      <c r="B29" t="s">
        <v>4</v>
      </c>
      <c r="C29" s="740">
        <v>89</v>
      </c>
      <c r="D29" s="67">
        <v>13</v>
      </c>
      <c r="E29" s="67">
        <v>11</v>
      </c>
      <c r="F29" s="67">
        <v>21</v>
      </c>
      <c r="G29" s="67">
        <v>61</v>
      </c>
      <c r="H29" s="67">
        <v>90</v>
      </c>
      <c r="I29" s="67">
        <v>2</v>
      </c>
      <c r="J29" s="67">
        <v>27</v>
      </c>
      <c r="K29" s="67">
        <v>31</v>
      </c>
      <c r="L29" s="67">
        <f>100-J29</f>
        <v>73</v>
      </c>
      <c r="M29" s="67" t="s">
        <v>126</v>
      </c>
      <c r="N29" s="879">
        <v>0.03</v>
      </c>
      <c r="O29" s="879">
        <v>0.56999999999999995</v>
      </c>
      <c r="P29" s="879">
        <v>0.18</v>
      </c>
      <c r="Q29" s="879">
        <v>0.17</v>
      </c>
      <c r="R29" s="879">
        <v>0.18</v>
      </c>
      <c r="S29" s="879">
        <v>0.06</v>
      </c>
      <c r="T29" s="879">
        <v>0.44</v>
      </c>
      <c r="U29" s="651" t="s">
        <v>316</v>
      </c>
      <c r="V29" s="605"/>
      <c r="W29" s="605"/>
      <c r="X29" s="605"/>
    </row>
    <row r="30" spans="1:25">
      <c r="B30" t="s">
        <v>322</v>
      </c>
      <c r="C30" s="1240">
        <v>85</v>
      </c>
      <c r="D30" s="1238">
        <v>9.8000000000000007</v>
      </c>
      <c r="E30" s="1238">
        <v>17.100000000000001</v>
      </c>
      <c r="F30" s="1238">
        <v>51</v>
      </c>
      <c r="G30" s="1238">
        <v>21</v>
      </c>
      <c r="H30" s="1238">
        <v>95</v>
      </c>
      <c r="I30" s="1238">
        <v>4.4000000000000004</v>
      </c>
      <c r="J30" s="1241">
        <v>29</v>
      </c>
      <c r="K30" s="1241">
        <v>42</v>
      </c>
      <c r="L30" s="1241">
        <f>100-J30</f>
        <v>71</v>
      </c>
      <c r="M30" s="1236" t="s">
        <v>126</v>
      </c>
      <c r="N30" s="1237">
        <v>0.04</v>
      </c>
      <c r="O30" s="1237">
        <v>1.5</v>
      </c>
      <c r="P30" s="1237">
        <v>0.05</v>
      </c>
      <c r="Q30" s="1237">
        <v>0.25</v>
      </c>
      <c r="R30" s="1237">
        <v>0.6</v>
      </c>
      <c r="S30" s="1237">
        <v>0.13</v>
      </c>
      <c r="T30" s="1237">
        <v>1.31</v>
      </c>
      <c r="U30" s="651" t="s">
        <v>316</v>
      </c>
      <c r="V30" s="605"/>
      <c r="W30" s="605"/>
      <c r="X30" s="605"/>
    </row>
    <row r="31" spans="1:25">
      <c r="B31" t="s">
        <v>323</v>
      </c>
      <c r="C31" s="740">
        <v>90</v>
      </c>
      <c r="D31" s="67">
        <v>11.5</v>
      </c>
      <c r="E31" s="67">
        <v>38</v>
      </c>
      <c r="F31" s="67">
        <v>30</v>
      </c>
      <c r="G31" s="67">
        <v>0</v>
      </c>
      <c r="H31" s="67">
        <v>1.5</v>
      </c>
      <c r="I31" s="67">
        <v>3.5</v>
      </c>
      <c r="J31" s="67">
        <v>0</v>
      </c>
      <c r="K31" s="67">
        <v>0</v>
      </c>
      <c r="L31" s="67">
        <v>0</v>
      </c>
      <c r="M31" s="67" t="s">
        <v>126</v>
      </c>
      <c r="N31" s="879">
        <v>7.0000000000000007E-2</v>
      </c>
      <c r="O31" s="879">
        <v>1.41</v>
      </c>
      <c r="P31" s="879">
        <v>0.04</v>
      </c>
      <c r="Q31" s="879">
        <v>0.73</v>
      </c>
      <c r="R31" s="879">
        <v>0.53</v>
      </c>
      <c r="S31" s="879">
        <v>0.75</v>
      </c>
      <c r="T31" s="879">
        <v>1.1000000000000001</v>
      </c>
      <c r="U31" s="651" t="s">
        <v>316</v>
      </c>
      <c r="V31" s="605"/>
      <c r="W31" s="605"/>
      <c r="X31" s="605"/>
    </row>
    <row r="32" spans="1:25">
      <c r="B32" t="s">
        <v>20</v>
      </c>
      <c r="C32" s="1240">
        <v>89</v>
      </c>
      <c r="D32" s="1238">
        <v>13.6</v>
      </c>
      <c r="E32" s="1238">
        <v>8</v>
      </c>
      <c r="F32" s="1238">
        <v>9</v>
      </c>
      <c r="G32" s="1238">
        <v>75</v>
      </c>
      <c r="H32" s="1238">
        <v>99</v>
      </c>
      <c r="I32" s="1238">
        <v>4.3</v>
      </c>
      <c r="J32" s="1241">
        <v>52</v>
      </c>
      <c r="K32" s="1241">
        <v>12</v>
      </c>
      <c r="L32" s="1241">
        <f>100-J32</f>
        <v>48</v>
      </c>
      <c r="M32" s="1236" t="s">
        <v>126</v>
      </c>
      <c r="N32" s="1237">
        <v>3.0000000000000001E-3</v>
      </c>
      <c r="O32" s="1237">
        <v>0.4</v>
      </c>
      <c r="P32" s="1237">
        <v>0.05</v>
      </c>
      <c r="Q32" s="1237">
        <v>0.12</v>
      </c>
      <c r="R32" s="1242">
        <v>0.12</v>
      </c>
      <c r="S32" s="1237">
        <v>0.02</v>
      </c>
      <c r="T32" s="1237">
        <v>0.31</v>
      </c>
      <c r="U32" s="651" t="s">
        <v>316</v>
      </c>
      <c r="V32" s="605"/>
      <c r="W32" s="605"/>
      <c r="X32" s="605"/>
    </row>
    <row r="33" spans="1:24">
      <c r="B33" t="s">
        <v>21</v>
      </c>
      <c r="C33" s="740">
        <v>89</v>
      </c>
      <c r="D33" s="67">
        <v>11.5</v>
      </c>
      <c r="E33" s="67">
        <v>13</v>
      </c>
      <c r="F33" s="67">
        <v>31</v>
      </c>
      <c r="G33" s="67">
        <v>48</v>
      </c>
      <c r="H33" s="67">
        <v>90</v>
      </c>
      <c r="I33" s="67">
        <v>4.9000000000000004</v>
      </c>
      <c r="J33" s="67">
        <v>17</v>
      </c>
      <c r="K33" s="67">
        <v>27</v>
      </c>
      <c r="L33" s="67">
        <f>100-J33</f>
        <v>83</v>
      </c>
      <c r="M33" s="67" t="s">
        <v>126</v>
      </c>
      <c r="N33" s="879">
        <v>0.01</v>
      </c>
      <c r="O33" s="879">
        <v>0.53</v>
      </c>
      <c r="P33" s="879">
        <v>0.11</v>
      </c>
      <c r="Q33" s="879">
        <v>0.19</v>
      </c>
      <c r="R33" s="879">
        <v>0.15</v>
      </c>
      <c r="S33" s="879">
        <v>0.1</v>
      </c>
      <c r="T33" s="879">
        <v>0.41</v>
      </c>
      <c r="U33" s="651" t="s">
        <v>316</v>
      </c>
      <c r="V33" s="605"/>
      <c r="W33" s="605"/>
      <c r="X33" s="605"/>
    </row>
    <row r="34" spans="1:24">
      <c r="B34" t="s">
        <v>23</v>
      </c>
      <c r="C34" s="1240">
        <v>88</v>
      </c>
      <c r="D34" s="1238">
        <v>12</v>
      </c>
      <c r="E34" s="1238">
        <v>13.5</v>
      </c>
      <c r="F34" s="1238">
        <v>60</v>
      </c>
      <c r="G34" s="1238">
        <v>14</v>
      </c>
      <c r="H34" s="1238">
        <v>1.4</v>
      </c>
      <c r="I34" s="1238">
        <v>2.5</v>
      </c>
      <c r="J34" s="1241">
        <v>5.3</v>
      </c>
      <c r="K34" s="1241">
        <v>22.5</v>
      </c>
      <c r="L34" s="1241">
        <f>100-J34</f>
        <v>94.7</v>
      </c>
      <c r="M34" s="1236" t="s">
        <v>126</v>
      </c>
      <c r="N34" s="1237">
        <v>0.01</v>
      </c>
      <c r="O34" s="1237">
        <v>1.51</v>
      </c>
      <c r="P34" s="1237">
        <v>0.05</v>
      </c>
      <c r="Q34" s="1237">
        <v>0.12</v>
      </c>
      <c r="R34" s="1237">
        <v>0.25</v>
      </c>
      <c r="S34" s="1237">
        <v>0.53</v>
      </c>
      <c r="T34" s="1237">
        <v>0.18</v>
      </c>
      <c r="U34" s="651" t="s">
        <v>316</v>
      </c>
      <c r="V34" s="605"/>
      <c r="W34" s="605"/>
      <c r="X34" s="605"/>
    </row>
    <row r="35" spans="1:24">
      <c r="B35" t="s">
        <v>22</v>
      </c>
      <c r="C35" s="740">
        <v>90</v>
      </c>
      <c r="D35" s="67">
        <v>12.9</v>
      </c>
      <c r="E35" s="67">
        <v>50</v>
      </c>
      <c r="F35" s="67">
        <v>14</v>
      </c>
      <c r="G35" s="67">
        <v>27</v>
      </c>
      <c r="H35" s="67">
        <v>90</v>
      </c>
      <c r="I35" s="67">
        <v>1.4</v>
      </c>
      <c r="J35" s="67">
        <v>35</v>
      </c>
      <c r="K35" s="67">
        <v>20</v>
      </c>
      <c r="L35" s="67">
        <f>100-J35</f>
        <v>65</v>
      </c>
      <c r="M35" s="67" t="s">
        <v>126</v>
      </c>
      <c r="N35" s="879">
        <v>0.01</v>
      </c>
      <c r="O35" s="879">
        <v>2.12</v>
      </c>
      <c r="P35" s="879">
        <v>0.08</v>
      </c>
      <c r="Q35" s="879">
        <v>0.37</v>
      </c>
      <c r="R35" s="879">
        <v>0.3</v>
      </c>
      <c r="S35" s="879">
        <v>0.3</v>
      </c>
      <c r="T35" s="879">
        <v>0.68</v>
      </c>
      <c r="U35" s="651" t="s">
        <v>316</v>
      </c>
      <c r="V35" s="605"/>
      <c r="W35" s="605"/>
      <c r="X35" s="605"/>
    </row>
    <row r="36" spans="1:24">
      <c r="B36" t="s">
        <v>27</v>
      </c>
      <c r="C36" s="1240">
        <v>88</v>
      </c>
      <c r="D36" s="1238">
        <v>12.8</v>
      </c>
      <c r="E36" s="1238">
        <v>5</v>
      </c>
      <c r="F36" s="1238">
        <v>20</v>
      </c>
      <c r="G36" s="1238">
        <v>74</v>
      </c>
      <c r="H36" s="1238">
        <v>71</v>
      </c>
      <c r="I36" s="1238">
        <v>2</v>
      </c>
      <c r="J36" s="1239">
        <v>0</v>
      </c>
      <c r="K36" s="1239">
        <v>0</v>
      </c>
      <c r="L36" s="1239">
        <v>0</v>
      </c>
      <c r="M36" s="1236" t="s">
        <v>126</v>
      </c>
      <c r="N36" s="1237">
        <v>0</v>
      </c>
      <c r="O36" s="1237">
        <v>1.1000000000000001</v>
      </c>
      <c r="P36" s="1244">
        <v>0</v>
      </c>
      <c r="Q36" s="1244">
        <v>0</v>
      </c>
      <c r="R36" s="1237">
        <v>0.15</v>
      </c>
      <c r="S36" s="1237">
        <v>0.2</v>
      </c>
      <c r="T36" s="1244">
        <v>0</v>
      </c>
      <c r="U36" s="651" t="s">
        <v>316</v>
      </c>
      <c r="V36" s="605"/>
      <c r="W36" s="605"/>
      <c r="X36" s="605"/>
    </row>
    <row r="37" spans="1:24">
      <c r="B37" t="s">
        <v>19</v>
      </c>
      <c r="C37" s="740">
        <v>89</v>
      </c>
      <c r="D37" s="67">
        <v>12.6</v>
      </c>
      <c r="E37" s="67">
        <v>11.3</v>
      </c>
      <c r="F37" s="67">
        <v>14</v>
      </c>
      <c r="G37" s="67">
        <v>70</v>
      </c>
      <c r="H37" s="67">
        <v>90</v>
      </c>
      <c r="I37" s="67">
        <v>1.9</v>
      </c>
      <c r="J37" s="67">
        <v>29</v>
      </c>
      <c r="K37" s="67">
        <v>42</v>
      </c>
      <c r="L37" s="67">
        <f>100-J37</f>
        <v>71</v>
      </c>
      <c r="M37" s="67" t="s">
        <v>126</v>
      </c>
      <c r="N37" s="879">
        <v>0.01</v>
      </c>
      <c r="O37" s="879">
        <v>0.46</v>
      </c>
      <c r="P37" s="879">
        <v>0.08</v>
      </c>
      <c r="Q37" s="879">
        <v>0.16</v>
      </c>
      <c r="R37" s="879">
        <v>0.13</v>
      </c>
      <c r="S37" s="879">
        <v>7.0000000000000007E-2</v>
      </c>
      <c r="T37" s="879">
        <v>0.36</v>
      </c>
      <c r="U37" s="651" t="s">
        <v>316</v>
      </c>
      <c r="V37" s="605"/>
      <c r="W37" s="605"/>
      <c r="X37" s="605"/>
    </row>
    <row r="38" spans="1:24">
      <c r="B38" s="916" t="s">
        <v>456</v>
      </c>
      <c r="C38" s="1243"/>
      <c r="D38" s="1236"/>
      <c r="E38" s="1236"/>
      <c r="F38" s="1236"/>
      <c r="G38" s="1236"/>
      <c r="H38" s="1236"/>
      <c r="I38" s="1236"/>
      <c r="J38" s="1236"/>
      <c r="K38" s="1236"/>
      <c r="L38" s="1236"/>
      <c r="M38" s="1236"/>
      <c r="N38" s="1235"/>
      <c r="O38" s="1235"/>
      <c r="P38" s="1235"/>
      <c r="Q38" s="1235"/>
      <c r="R38" s="1235"/>
      <c r="S38" s="1235"/>
      <c r="T38" s="1235"/>
      <c r="U38" s="651"/>
      <c r="V38" s="605"/>
      <c r="W38" s="605"/>
      <c r="X38" s="605"/>
    </row>
    <row r="39" spans="1:24">
      <c r="B39" s="916" t="s">
        <v>456</v>
      </c>
      <c r="C39" s="1235"/>
      <c r="D39" s="1236"/>
      <c r="E39" s="1236"/>
      <c r="F39" s="1236"/>
      <c r="G39" s="1236"/>
      <c r="H39" s="1236"/>
      <c r="I39" s="1236"/>
      <c r="J39" s="1236"/>
      <c r="K39" s="1236"/>
      <c r="L39" s="1236"/>
      <c r="M39" s="1236"/>
      <c r="N39" s="1235"/>
      <c r="O39" s="1235"/>
      <c r="P39" s="1235"/>
      <c r="Q39" s="1235"/>
      <c r="R39" s="1235"/>
      <c r="S39" s="1235"/>
      <c r="T39" s="1235"/>
      <c r="V39" s="605"/>
      <c r="W39" s="605"/>
      <c r="X39" s="605"/>
    </row>
    <row r="40" spans="1:24">
      <c r="A40" s="653" t="s">
        <v>625</v>
      </c>
      <c r="B40" s="42"/>
      <c r="C40" s="1235"/>
      <c r="D40" s="1236"/>
      <c r="E40" s="1236"/>
      <c r="F40" s="1236"/>
      <c r="G40" s="1236"/>
      <c r="H40" s="1236"/>
      <c r="I40" s="1236"/>
      <c r="M40" s="1236"/>
      <c r="N40" s="1235"/>
      <c r="O40" s="1235"/>
      <c r="P40" s="1235"/>
      <c r="Q40" s="1235"/>
      <c r="R40" s="1235"/>
      <c r="S40" s="1235"/>
      <c r="T40" s="1235"/>
      <c r="U40" s="605"/>
      <c r="V40" s="605"/>
      <c r="W40" s="605"/>
      <c r="X40" s="605"/>
    </row>
    <row r="41" spans="1:24">
      <c r="B41" t="s">
        <v>14</v>
      </c>
      <c r="C41" s="740">
        <v>13</v>
      </c>
      <c r="D41" s="67">
        <v>12.5</v>
      </c>
      <c r="E41" s="67">
        <v>23</v>
      </c>
      <c r="F41" s="67">
        <v>34</v>
      </c>
      <c r="G41" s="67">
        <v>7</v>
      </c>
      <c r="H41" s="67">
        <v>0</v>
      </c>
      <c r="I41" s="67">
        <v>0</v>
      </c>
      <c r="J41" s="67">
        <v>0</v>
      </c>
      <c r="K41" s="67">
        <v>0</v>
      </c>
      <c r="L41" s="67">
        <v>0</v>
      </c>
      <c r="M41" s="67" t="s">
        <v>125</v>
      </c>
      <c r="N41" s="879">
        <v>0.21</v>
      </c>
      <c r="O41" s="879">
        <v>3.64</v>
      </c>
      <c r="P41" s="67">
        <v>0.2</v>
      </c>
      <c r="Q41" s="67">
        <v>0.3</v>
      </c>
      <c r="R41" s="879">
        <v>0.28000000000000003</v>
      </c>
      <c r="S41" s="879">
        <v>1.49</v>
      </c>
      <c r="T41" s="879">
        <v>0.34</v>
      </c>
      <c r="U41" s="651" t="s">
        <v>316</v>
      </c>
      <c r="V41" s="605"/>
      <c r="W41" s="605"/>
      <c r="X41" s="605"/>
    </row>
    <row r="42" spans="1:24">
      <c r="B42" t="s">
        <v>16</v>
      </c>
      <c r="C42" s="740">
        <v>13</v>
      </c>
      <c r="D42" s="67">
        <v>12</v>
      </c>
      <c r="E42" s="67">
        <v>15</v>
      </c>
      <c r="F42" s="67">
        <v>27</v>
      </c>
      <c r="G42" s="67">
        <v>37</v>
      </c>
      <c r="H42" s="67">
        <v>0</v>
      </c>
      <c r="I42" s="67">
        <v>2.1</v>
      </c>
      <c r="J42" s="67">
        <v>0</v>
      </c>
      <c r="K42" s="67">
        <v>0</v>
      </c>
      <c r="L42" s="67">
        <v>0</v>
      </c>
      <c r="M42" s="67" t="s">
        <v>125</v>
      </c>
      <c r="N42" s="67">
        <v>0.1</v>
      </c>
      <c r="O42" s="67">
        <v>4</v>
      </c>
      <c r="P42" s="67">
        <v>0.2</v>
      </c>
      <c r="Q42" s="67">
        <v>0.7</v>
      </c>
      <c r="R42" s="67">
        <v>0.5</v>
      </c>
      <c r="S42" s="67">
        <v>0.8</v>
      </c>
      <c r="T42" s="67">
        <v>0.35</v>
      </c>
      <c r="U42" s="651" t="s">
        <v>316</v>
      </c>
      <c r="V42" s="605"/>
      <c r="W42" s="605"/>
      <c r="X42" s="605"/>
    </row>
    <row r="43" spans="1:24">
      <c r="B43" t="s">
        <v>320</v>
      </c>
      <c r="C43" s="1240">
        <v>24</v>
      </c>
      <c r="D43" s="1238">
        <v>11</v>
      </c>
      <c r="E43" s="1238">
        <v>30</v>
      </c>
      <c r="F43" s="1239">
        <v>0</v>
      </c>
      <c r="G43" s="1239">
        <v>0</v>
      </c>
      <c r="H43" s="1239">
        <v>0</v>
      </c>
      <c r="I43" s="1238">
        <v>2.5</v>
      </c>
      <c r="J43" s="1239">
        <v>0</v>
      </c>
      <c r="K43" s="1239">
        <v>0</v>
      </c>
      <c r="L43" s="1239">
        <v>0</v>
      </c>
      <c r="M43" s="1236" t="s">
        <v>125</v>
      </c>
      <c r="N43" s="1237">
        <v>0.06</v>
      </c>
      <c r="O43" s="1237">
        <v>2.5</v>
      </c>
      <c r="P43" s="1237">
        <v>0.35</v>
      </c>
      <c r="Q43" s="1237">
        <v>0.3</v>
      </c>
      <c r="R43" s="1237">
        <v>0.25</v>
      </c>
      <c r="S43" s="1237">
        <v>1.6</v>
      </c>
      <c r="T43" s="1237">
        <v>0.3</v>
      </c>
      <c r="U43" s="651" t="s">
        <v>316</v>
      </c>
      <c r="V43" s="605"/>
      <c r="W43" s="605"/>
      <c r="X43" s="605"/>
    </row>
    <row r="44" spans="1:24">
      <c r="B44" t="s">
        <v>17</v>
      </c>
      <c r="C44" s="1240">
        <v>11</v>
      </c>
      <c r="D44" s="1238">
        <v>12</v>
      </c>
      <c r="E44" s="1238">
        <v>16</v>
      </c>
      <c r="F44" s="1238">
        <v>23</v>
      </c>
      <c r="G44" s="1238">
        <v>47</v>
      </c>
      <c r="H44" s="1238">
        <v>0.1</v>
      </c>
      <c r="I44" s="1238"/>
      <c r="J44" s="1239">
        <v>0</v>
      </c>
      <c r="K44" s="1239">
        <v>0</v>
      </c>
      <c r="L44" s="1239">
        <v>0</v>
      </c>
      <c r="M44" s="1236" t="s">
        <v>125</v>
      </c>
      <c r="N44" s="1237">
        <v>0.2</v>
      </c>
      <c r="O44" s="1237">
        <v>0.5</v>
      </c>
      <c r="P44" s="1237">
        <v>0.2</v>
      </c>
      <c r="Q44" s="1239">
        <v>0.7</v>
      </c>
      <c r="R44" s="1237">
        <v>0.1</v>
      </c>
      <c r="S44" s="1237">
        <v>0.4</v>
      </c>
      <c r="T44" s="1239">
        <v>0.35</v>
      </c>
      <c r="U44" s="651" t="s">
        <v>316</v>
      </c>
      <c r="V44" s="605"/>
      <c r="W44" s="605"/>
      <c r="X44" s="605"/>
    </row>
    <row r="45" spans="1:24">
      <c r="B45" t="s">
        <v>18</v>
      </c>
      <c r="C45" s="740">
        <v>10</v>
      </c>
      <c r="D45" s="67">
        <v>12</v>
      </c>
      <c r="E45" s="67">
        <v>15</v>
      </c>
      <c r="F45" s="67">
        <v>27</v>
      </c>
      <c r="G45" s="67">
        <v>17</v>
      </c>
      <c r="H45" s="67">
        <v>10</v>
      </c>
      <c r="I45" s="67">
        <v>2</v>
      </c>
      <c r="J45" s="67">
        <v>0</v>
      </c>
      <c r="K45" s="67">
        <v>0</v>
      </c>
      <c r="L45" s="67">
        <v>0</v>
      </c>
      <c r="M45" s="67" t="s">
        <v>125</v>
      </c>
      <c r="N45" s="879">
        <v>0.28000000000000003</v>
      </c>
      <c r="O45" s="879">
        <v>3</v>
      </c>
      <c r="P45" s="879">
        <v>1.45</v>
      </c>
      <c r="Q45" s="879">
        <v>0.33</v>
      </c>
      <c r="R45" s="879">
        <v>0.23</v>
      </c>
      <c r="S45" s="879">
        <v>1.75</v>
      </c>
      <c r="T45" s="879">
        <v>0.37</v>
      </c>
      <c r="U45" s="651" t="s">
        <v>316</v>
      </c>
      <c r="V45" s="605"/>
      <c r="W45" s="605"/>
      <c r="X45" s="605"/>
    </row>
    <row r="46" spans="1:24">
      <c r="B46" t="s">
        <v>491</v>
      </c>
      <c r="C46" s="1238">
        <v>10</v>
      </c>
      <c r="D46" s="1238">
        <v>12</v>
      </c>
      <c r="E46" s="1238">
        <v>8.6</v>
      </c>
      <c r="F46" s="1238">
        <v>11.4</v>
      </c>
      <c r="G46" s="1239">
        <v>64</v>
      </c>
      <c r="H46" s="1239">
        <v>5</v>
      </c>
      <c r="I46" s="1239">
        <v>0</v>
      </c>
      <c r="J46" s="1239">
        <v>0</v>
      </c>
      <c r="K46" s="1239">
        <v>0</v>
      </c>
      <c r="L46" s="1239">
        <v>0</v>
      </c>
      <c r="M46" s="1236" t="s">
        <v>125</v>
      </c>
      <c r="N46" s="1239">
        <v>0.3</v>
      </c>
      <c r="O46" s="1239">
        <v>2</v>
      </c>
      <c r="P46" s="1239">
        <v>0.3</v>
      </c>
      <c r="Q46" s="1239">
        <v>7.0000000000000007E-2</v>
      </c>
      <c r="R46" s="1239">
        <v>0.16</v>
      </c>
      <c r="S46" s="1239">
        <v>0.14000000000000001</v>
      </c>
      <c r="T46" s="1239">
        <v>0.13</v>
      </c>
      <c r="U46" s="651" t="s">
        <v>493</v>
      </c>
      <c r="V46" s="605"/>
      <c r="W46" s="605"/>
      <c r="X46" s="605"/>
    </row>
    <row r="47" spans="1:24">
      <c r="B47" t="s">
        <v>492</v>
      </c>
      <c r="C47" s="1238">
        <v>17</v>
      </c>
      <c r="D47" s="1238">
        <v>10.4</v>
      </c>
      <c r="E47" s="1238">
        <v>20</v>
      </c>
      <c r="F47" s="1238">
        <v>32</v>
      </c>
      <c r="G47" s="1239">
        <v>17.5</v>
      </c>
      <c r="H47" s="1239">
        <v>0</v>
      </c>
      <c r="I47" s="1239">
        <v>0</v>
      </c>
      <c r="J47" s="1239">
        <v>0</v>
      </c>
      <c r="K47" s="1239">
        <v>0</v>
      </c>
      <c r="L47" s="1239">
        <v>0</v>
      </c>
      <c r="M47" s="1236" t="s">
        <v>125</v>
      </c>
      <c r="N47" s="1239">
        <v>1.3</v>
      </c>
      <c r="O47" s="1239">
        <v>3.2</v>
      </c>
      <c r="P47" s="1239">
        <v>0.3</v>
      </c>
      <c r="Q47" s="1239">
        <v>0.3</v>
      </c>
      <c r="R47" s="1239">
        <v>1</v>
      </c>
      <c r="S47" s="1239">
        <v>1.8</v>
      </c>
      <c r="T47" s="1239">
        <v>0.3</v>
      </c>
      <c r="U47" s="651" t="s">
        <v>493</v>
      </c>
      <c r="V47" s="605"/>
      <c r="W47" s="605"/>
      <c r="X47" s="605"/>
    </row>
    <row r="48" spans="1:24">
      <c r="W48" s="605"/>
      <c r="X48" s="605"/>
    </row>
    <row r="49" spans="1:24">
      <c r="W49" s="605"/>
      <c r="X49" s="605"/>
    </row>
    <row r="50" spans="1:24">
      <c r="B50" s="916" t="s">
        <v>456</v>
      </c>
      <c r="U50"/>
      <c r="V50"/>
      <c r="W50" s="605"/>
      <c r="X50" s="605"/>
    </row>
    <row r="51" spans="1:24">
      <c r="A51" s="653" t="s">
        <v>334</v>
      </c>
      <c r="B51" s="42"/>
      <c r="C51" s="1243"/>
      <c r="D51" s="1243"/>
      <c r="E51" s="1243"/>
      <c r="F51" s="1243"/>
      <c r="G51" s="1243"/>
      <c r="H51" s="1243"/>
      <c r="I51" s="1243"/>
      <c r="J51" s="1243"/>
      <c r="K51" s="1243"/>
      <c r="L51" s="1243"/>
      <c r="M51" s="1243"/>
      <c r="N51" s="1243"/>
      <c r="O51" s="1243"/>
      <c r="P51" s="1243"/>
      <c r="Q51" s="1243"/>
      <c r="R51" s="1243"/>
      <c r="S51" s="1243"/>
      <c r="T51" s="1243"/>
      <c r="U51" s="917"/>
      <c r="V51" s="917"/>
      <c r="W51" s="605"/>
      <c r="X51" s="605"/>
    </row>
    <row r="52" spans="1:24">
      <c r="B52" t="s">
        <v>0</v>
      </c>
      <c r="C52" s="740">
        <v>90</v>
      </c>
      <c r="D52" s="67">
        <v>11</v>
      </c>
      <c r="E52" s="67">
        <v>14</v>
      </c>
      <c r="F52" s="67">
        <v>54</v>
      </c>
      <c r="G52" s="67">
        <v>0</v>
      </c>
      <c r="H52" s="67">
        <v>5</v>
      </c>
      <c r="I52" s="67">
        <v>8</v>
      </c>
      <c r="J52" s="67">
        <v>1.6</v>
      </c>
      <c r="K52" s="67">
        <v>80.8</v>
      </c>
      <c r="L52" s="67">
        <f>100-J52</f>
        <v>98.4</v>
      </c>
      <c r="M52" s="67" t="s">
        <v>126</v>
      </c>
      <c r="N52" s="105">
        <v>0.02</v>
      </c>
      <c r="O52" s="105">
        <v>0.8</v>
      </c>
      <c r="P52" s="105">
        <v>0.25</v>
      </c>
      <c r="Q52" s="67">
        <v>0.24</v>
      </c>
      <c r="R52" s="105">
        <v>0.3</v>
      </c>
      <c r="S52" s="105">
        <v>0.25</v>
      </c>
      <c r="T52" s="105">
        <v>0.65</v>
      </c>
      <c r="U52" s="651" t="s">
        <v>316</v>
      </c>
      <c r="V52" s="605"/>
      <c r="W52" s="605"/>
      <c r="X52" s="605"/>
    </row>
    <row r="53" spans="1:24">
      <c r="B53" t="s">
        <v>33</v>
      </c>
      <c r="C53" s="1240">
        <v>22</v>
      </c>
      <c r="D53" s="1238">
        <v>10.4</v>
      </c>
      <c r="E53" s="1238">
        <v>5.4</v>
      </c>
      <c r="F53" s="1238">
        <v>41</v>
      </c>
      <c r="G53" s="1238">
        <v>44</v>
      </c>
      <c r="H53" s="1238">
        <v>100</v>
      </c>
      <c r="I53" s="1238">
        <v>4.7</v>
      </c>
      <c r="J53" s="1241">
        <v>51</v>
      </c>
      <c r="K53" s="1241">
        <v>11</v>
      </c>
      <c r="L53" s="1241">
        <f>100-J53</f>
        <v>49</v>
      </c>
      <c r="M53" s="1236" t="s">
        <v>126</v>
      </c>
      <c r="N53" s="1237">
        <v>0</v>
      </c>
      <c r="O53" s="1237">
        <v>0.53</v>
      </c>
      <c r="P53" s="1237">
        <v>0</v>
      </c>
      <c r="Q53" s="1237">
        <v>0.11</v>
      </c>
      <c r="R53" s="1237">
        <v>0</v>
      </c>
      <c r="S53" s="1237">
        <v>0.23</v>
      </c>
      <c r="T53" s="1237">
        <v>0.11</v>
      </c>
      <c r="U53" s="651" t="s">
        <v>316</v>
      </c>
      <c r="V53" s="605"/>
      <c r="W53" s="605"/>
      <c r="X53" s="605"/>
    </row>
    <row r="54" spans="1:24">
      <c r="B54" t="s">
        <v>24</v>
      </c>
      <c r="C54" s="740">
        <v>24</v>
      </c>
      <c r="D54" s="67">
        <v>10</v>
      </c>
      <c r="E54" s="67">
        <v>23</v>
      </c>
      <c r="F54" s="67">
        <v>49</v>
      </c>
      <c r="G54" s="67">
        <v>7</v>
      </c>
      <c r="H54" s="67">
        <v>100</v>
      </c>
      <c r="I54" s="67">
        <v>7.3</v>
      </c>
      <c r="J54" s="67">
        <v>45</v>
      </c>
      <c r="K54" s="67">
        <v>10</v>
      </c>
      <c r="L54" s="67">
        <f>100-J54</f>
        <v>55</v>
      </c>
      <c r="M54" s="67" t="s">
        <v>126</v>
      </c>
      <c r="N54" s="879">
        <v>0.2</v>
      </c>
      <c r="O54" s="879">
        <v>0.1</v>
      </c>
      <c r="P54" s="879">
        <v>0.17</v>
      </c>
      <c r="Q54" s="879">
        <v>0.36</v>
      </c>
      <c r="R54" s="879">
        <v>0.1</v>
      </c>
      <c r="S54" s="879">
        <v>0.3</v>
      </c>
      <c r="T54" s="879">
        <v>0.6</v>
      </c>
      <c r="U54" s="651" t="s">
        <v>316</v>
      </c>
      <c r="V54" s="605"/>
      <c r="W54" s="605"/>
      <c r="X54" s="605"/>
    </row>
    <row r="55" spans="1:24">
      <c r="B55" t="s">
        <v>25</v>
      </c>
      <c r="C55" s="1240">
        <v>85</v>
      </c>
      <c r="D55" s="1238">
        <v>10.5</v>
      </c>
      <c r="E55" s="1238">
        <v>13</v>
      </c>
      <c r="F55" s="1238">
        <v>12</v>
      </c>
      <c r="G55" s="1238">
        <v>22</v>
      </c>
      <c r="H55" s="1238">
        <v>90</v>
      </c>
      <c r="I55" s="1238">
        <v>5</v>
      </c>
      <c r="J55" s="1239">
        <v>0</v>
      </c>
      <c r="K55" s="1239">
        <v>0</v>
      </c>
      <c r="L55" s="1239">
        <v>0</v>
      </c>
      <c r="M55" s="1236" t="s">
        <v>126</v>
      </c>
      <c r="N55" s="1237">
        <v>0.01</v>
      </c>
      <c r="O55" s="1237">
        <v>1.5</v>
      </c>
      <c r="P55" s="1237">
        <v>0.09</v>
      </c>
      <c r="Q55" s="1237">
        <v>0.19</v>
      </c>
      <c r="R55" s="1237">
        <v>0.5</v>
      </c>
      <c r="S55" s="1237">
        <v>0.15</v>
      </c>
      <c r="T55" s="1237">
        <v>0.8</v>
      </c>
      <c r="U55" s="651" t="s">
        <v>316</v>
      </c>
      <c r="V55" s="605"/>
      <c r="W55" s="605"/>
      <c r="X55" s="605"/>
    </row>
    <row r="56" spans="1:24">
      <c r="B56" t="s">
        <v>321</v>
      </c>
      <c r="C56" s="740">
        <v>90</v>
      </c>
      <c r="D56" s="67">
        <v>12.5</v>
      </c>
      <c r="E56" s="67">
        <v>29</v>
      </c>
      <c r="F56" s="67">
        <v>30</v>
      </c>
      <c r="G56" s="67">
        <v>4</v>
      </c>
      <c r="H56" s="67">
        <v>90</v>
      </c>
      <c r="I56" s="67">
        <v>9</v>
      </c>
      <c r="J56" s="67">
        <v>17.100000000000001</v>
      </c>
      <c r="K56" s="67">
        <v>18.3</v>
      </c>
      <c r="L56" s="67">
        <f>100-J56</f>
        <v>82.9</v>
      </c>
      <c r="M56" s="67" t="s">
        <v>126</v>
      </c>
      <c r="N56" s="879">
        <v>0.3</v>
      </c>
      <c r="O56" s="879">
        <v>0.1</v>
      </c>
      <c r="P56" s="879">
        <v>0.26</v>
      </c>
      <c r="Q56" s="879">
        <v>0.44</v>
      </c>
      <c r="R56" s="879">
        <v>0.33</v>
      </c>
      <c r="S56" s="879">
        <v>0.18</v>
      </c>
      <c r="T56" s="879">
        <v>0.83</v>
      </c>
      <c r="U56" s="651" t="s">
        <v>316</v>
      </c>
      <c r="V56" s="605"/>
      <c r="W56" s="605"/>
      <c r="X56" s="605"/>
    </row>
    <row r="57" spans="1:24">
      <c r="B57" t="s">
        <v>26</v>
      </c>
      <c r="C57" s="1240">
        <v>75</v>
      </c>
      <c r="D57" s="1238">
        <v>12</v>
      </c>
      <c r="E57" s="1238">
        <v>4</v>
      </c>
      <c r="F57" s="1238">
        <v>0</v>
      </c>
      <c r="G57" s="1238">
        <v>83</v>
      </c>
      <c r="H57" s="1238">
        <v>0</v>
      </c>
      <c r="I57" s="1238">
        <v>0.1</v>
      </c>
      <c r="J57" s="1241">
        <v>0</v>
      </c>
      <c r="K57" s="1241">
        <v>95</v>
      </c>
      <c r="L57" s="1241">
        <f>100-J57</f>
        <v>100</v>
      </c>
      <c r="M57" s="1236" t="s">
        <v>126</v>
      </c>
      <c r="N57" s="1237">
        <v>0.15</v>
      </c>
      <c r="O57" s="1237">
        <v>3.3</v>
      </c>
      <c r="P57" s="1237">
        <v>3.1</v>
      </c>
      <c r="Q57" s="1237">
        <v>0.47</v>
      </c>
      <c r="R57" s="1237">
        <v>0.43</v>
      </c>
      <c r="S57" s="1237">
        <v>1.1000000000000001</v>
      </c>
      <c r="T57" s="1237">
        <v>0.09</v>
      </c>
      <c r="U57" s="651" t="s">
        <v>316</v>
      </c>
      <c r="V57" s="605"/>
      <c r="W57" s="605"/>
      <c r="X57" s="605"/>
    </row>
    <row r="58" spans="1:24">
      <c r="B58" t="s">
        <v>32</v>
      </c>
      <c r="C58" s="740">
        <v>23</v>
      </c>
      <c r="D58" s="740">
        <v>13</v>
      </c>
      <c r="E58" s="740">
        <v>10</v>
      </c>
      <c r="F58" s="740">
        <v>7.6</v>
      </c>
      <c r="G58" s="740">
        <v>77</v>
      </c>
      <c r="H58" s="740">
        <v>100</v>
      </c>
      <c r="I58" s="740">
        <v>0.4</v>
      </c>
      <c r="J58" s="67">
        <v>5</v>
      </c>
      <c r="K58" s="67">
        <v>4.5</v>
      </c>
      <c r="L58" s="67">
        <f>100-J58</f>
        <v>95</v>
      </c>
      <c r="M58" s="67" t="s">
        <v>126</v>
      </c>
      <c r="N58" s="879">
        <v>0.09</v>
      </c>
      <c r="O58" s="879">
        <v>2.17</v>
      </c>
      <c r="P58" s="879">
        <v>0.28000000000000003</v>
      </c>
      <c r="Q58" s="879">
        <v>0.09</v>
      </c>
      <c r="R58" s="879">
        <v>0.14000000000000001</v>
      </c>
      <c r="S58" s="879">
        <v>0.04</v>
      </c>
      <c r="T58" s="879">
        <v>0.24</v>
      </c>
      <c r="U58" s="651" t="s">
        <v>316</v>
      </c>
      <c r="V58" s="605"/>
      <c r="W58" s="605"/>
      <c r="X58" s="605"/>
    </row>
    <row r="59" spans="1:24">
      <c r="B59" t="s">
        <v>28</v>
      </c>
      <c r="C59" s="1240">
        <v>99</v>
      </c>
      <c r="D59" s="1239">
        <v>0</v>
      </c>
      <c r="E59" s="1238">
        <v>281</v>
      </c>
      <c r="F59" s="1239">
        <v>0</v>
      </c>
      <c r="G59" s="1239">
        <v>0</v>
      </c>
      <c r="H59" s="1239">
        <v>0</v>
      </c>
      <c r="I59" s="1239">
        <v>0</v>
      </c>
      <c r="J59" s="1241">
        <v>0</v>
      </c>
      <c r="K59" s="1241">
        <v>0</v>
      </c>
      <c r="L59" s="1241">
        <v>0</v>
      </c>
      <c r="M59" s="1236" t="s">
        <v>126</v>
      </c>
      <c r="N59" s="1239">
        <v>0</v>
      </c>
      <c r="O59" s="1239">
        <v>0</v>
      </c>
      <c r="P59" s="1239">
        <v>0</v>
      </c>
      <c r="Q59" s="1239">
        <v>0</v>
      </c>
      <c r="R59" s="1239">
        <v>0</v>
      </c>
      <c r="S59" s="1239">
        <v>0</v>
      </c>
      <c r="T59" s="1239">
        <v>0</v>
      </c>
      <c r="U59" s="651" t="s">
        <v>316</v>
      </c>
      <c r="V59" s="605"/>
      <c r="W59" s="605"/>
      <c r="X59" s="605"/>
    </row>
    <row r="60" spans="1:24">
      <c r="B60" s="916" t="s">
        <v>456</v>
      </c>
      <c r="C60" s="1243"/>
      <c r="D60" s="1236"/>
      <c r="E60" s="1236"/>
      <c r="F60" s="1236"/>
      <c r="G60" s="1236"/>
      <c r="H60" s="1236"/>
      <c r="I60" s="1236"/>
      <c r="J60" s="1236"/>
      <c r="K60" s="1236"/>
      <c r="L60" s="1236"/>
      <c r="M60" s="1236"/>
      <c r="N60" s="1235"/>
      <c r="O60" s="1235"/>
      <c r="P60" s="1235"/>
      <c r="Q60" s="1235"/>
      <c r="R60" s="1235"/>
      <c r="S60" s="1235"/>
      <c r="T60" s="1235"/>
      <c r="U60" s="651"/>
      <c r="V60" s="605"/>
      <c r="W60" s="605"/>
      <c r="X60" s="605"/>
    </row>
    <row r="61" spans="1:24">
      <c r="A61" t="s">
        <v>552</v>
      </c>
      <c r="B61" s="916" t="s">
        <v>456</v>
      </c>
      <c r="C61" s="1235"/>
      <c r="D61" s="1236"/>
      <c r="E61" s="1236"/>
      <c r="F61" s="1236"/>
      <c r="G61" s="1236"/>
      <c r="H61" s="1236"/>
      <c r="I61" s="1236"/>
      <c r="J61" s="1236"/>
      <c r="K61" s="1236"/>
      <c r="L61" s="1236"/>
      <c r="M61" s="1236"/>
      <c r="V61" s="605"/>
      <c r="W61" s="605"/>
      <c r="X61" s="605"/>
    </row>
    <row r="62" spans="1:24">
      <c r="A62" s="653" t="s">
        <v>637</v>
      </c>
      <c r="B62" s="42" t="str">
        <f>'CUSTOM FEED SET-UP'!B4</f>
        <v>Fodder beet_Default</v>
      </c>
      <c r="C62" s="1235"/>
      <c r="D62" s="1236"/>
      <c r="E62" s="1236"/>
      <c r="F62" s="1236"/>
      <c r="G62" s="1236"/>
      <c r="H62" s="1236"/>
      <c r="I62" s="1236"/>
      <c r="J62" s="1236"/>
      <c r="K62" s="1236"/>
      <c r="L62" s="1236"/>
      <c r="M62" s="1236"/>
      <c r="V62" s="605"/>
      <c r="W62" s="605"/>
      <c r="X62" s="605"/>
    </row>
    <row r="63" spans="1:24">
      <c r="B63" s="895" t="str">
        <f>'CUSTOM FEED SET-UP'!B5</f>
        <v>Bulb only</v>
      </c>
      <c r="C63" s="120">
        <f>'CUSTOM FEED SET-UP'!F5</f>
        <v>10</v>
      </c>
      <c r="D63" s="120">
        <f>'CUSTOM FEED SET-UP'!G5</f>
        <v>12</v>
      </c>
      <c r="E63" s="120">
        <f>'CUSTOM FEED SET-UP'!H5</f>
        <v>8.6</v>
      </c>
      <c r="F63" s="120">
        <f>'CUSTOM FEED SET-UP'!I5</f>
        <v>11.4</v>
      </c>
      <c r="G63" s="120">
        <f>'CUSTOM FEED SET-UP'!J5</f>
        <v>64</v>
      </c>
      <c r="H63" s="120">
        <f>'CUSTOM FEED SET-UP'!K5</f>
        <v>5</v>
      </c>
      <c r="I63" s="120">
        <f>'CUSTOM FEED SET-UP'!L5</f>
        <v>0</v>
      </c>
      <c r="J63" s="120">
        <f>'CUSTOM FEED SET-UP'!M5</f>
        <v>0</v>
      </c>
      <c r="K63" s="120">
        <f>'CUSTOM FEED SET-UP'!N5</f>
        <v>0</v>
      </c>
      <c r="L63" s="120">
        <f>'CUSTOM FEED SET-UP'!O5</f>
        <v>0</v>
      </c>
      <c r="M63" s="120" t="e">
        <f>'CUSTOM FEED SET-UP'!#REF!</f>
        <v>#REF!</v>
      </c>
      <c r="N63" s="120">
        <f>'CUSTOM FEED SET-UP'!P5</f>
        <v>0.3</v>
      </c>
      <c r="O63" s="120">
        <f>'CUSTOM FEED SET-UP'!Q5</f>
        <v>2</v>
      </c>
      <c r="P63" s="120">
        <f>'CUSTOM FEED SET-UP'!R5</f>
        <v>0.3</v>
      </c>
      <c r="Q63" s="120">
        <f>'CUSTOM FEED SET-UP'!S5</f>
        <v>7.0000000000000007E-2</v>
      </c>
      <c r="R63" s="120">
        <f>'CUSTOM FEED SET-UP'!T5</f>
        <v>0.16</v>
      </c>
      <c r="S63" s="120">
        <f>'CUSTOM FEED SET-UP'!U5</f>
        <v>0.14000000000000001</v>
      </c>
      <c r="T63" s="120">
        <f>'CUSTOM FEED SET-UP'!V5</f>
        <v>0.13</v>
      </c>
      <c r="U63" s="896"/>
      <c r="V63" s="896"/>
    </row>
    <row r="64" spans="1:24">
      <c r="B64" s="895" t="str">
        <f>'CUSTOM FEED SET-UP'!B6</f>
        <v>Leaf only</v>
      </c>
      <c r="C64" s="120">
        <f>'CUSTOM FEED SET-UP'!F6</f>
        <v>17</v>
      </c>
      <c r="D64" s="120">
        <f>'CUSTOM FEED SET-UP'!G6</f>
        <v>10.4</v>
      </c>
      <c r="E64" s="120">
        <f>'CUSTOM FEED SET-UP'!H6</f>
        <v>20</v>
      </c>
      <c r="F64" s="120">
        <f>'CUSTOM FEED SET-UP'!I6</f>
        <v>32</v>
      </c>
      <c r="G64" s="120">
        <f>'CUSTOM FEED SET-UP'!J6</f>
        <v>17.5</v>
      </c>
      <c r="H64" s="120">
        <f>'CUSTOM FEED SET-UP'!K6</f>
        <v>0</v>
      </c>
      <c r="I64" s="120">
        <f>'CUSTOM FEED SET-UP'!L6</f>
        <v>0</v>
      </c>
      <c r="J64" s="120">
        <f>'CUSTOM FEED SET-UP'!M6</f>
        <v>0</v>
      </c>
      <c r="K64" s="120">
        <f>'CUSTOM FEED SET-UP'!N6</f>
        <v>0</v>
      </c>
      <c r="L64" s="120">
        <f>'CUSTOM FEED SET-UP'!O6</f>
        <v>0</v>
      </c>
      <c r="M64" s="120" t="e">
        <f>'CUSTOM FEED SET-UP'!#REF!</f>
        <v>#REF!</v>
      </c>
      <c r="N64" s="120">
        <f>'CUSTOM FEED SET-UP'!P6</f>
        <v>1.3</v>
      </c>
      <c r="O64" s="120">
        <f>'CUSTOM FEED SET-UP'!Q6</f>
        <v>3.2</v>
      </c>
      <c r="P64" s="120">
        <f>'CUSTOM FEED SET-UP'!R6</f>
        <v>0.3</v>
      </c>
      <c r="Q64" s="120">
        <f>'CUSTOM FEED SET-UP'!S6</f>
        <v>0.3</v>
      </c>
      <c r="R64" s="120">
        <f>'CUSTOM FEED SET-UP'!T6</f>
        <v>1</v>
      </c>
      <c r="S64" s="120">
        <f>'CUSTOM FEED SET-UP'!U6</f>
        <v>1.8</v>
      </c>
      <c r="T64" s="120">
        <f>'CUSTOM FEED SET-UP'!V6</f>
        <v>0.3</v>
      </c>
      <c r="U64" s="896"/>
      <c r="V64" s="896"/>
    </row>
    <row r="65" spans="1:22">
      <c r="B65" s="895" t="str">
        <f>'CUSTOM FEED SET-UP'!B7</f>
        <v>Bulb 90% Leaf 10%</v>
      </c>
      <c r="C65" s="120">
        <f>'CUSTOM FEED SET-UP'!F7</f>
        <v>10.7</v>
      </c>
      <c r="D65" s="120">
        <f>'CUSTOM FEED SET-UP'!G7</f>
        <v>11.84</v>
      </c>
      <c r="E65" s="120">
        <f>'CUSTOM FEED SET-UP'!H7</f>
        <v>9.74</v>
      </c>
      <c r="F65" s="120">
        <f>'CUSTOM FEED SET-UP'!I7</f>
        <v>13.46</v>
      </c>
      <c r="G65" s="120">
        <f>'CUSTOM FEED SET-UP'!J7</f>
        <v>59.35</v>
      </c>
      <c r="H65" s="120">
        <f>'CUSTOM FEED SET-UP'!K7</f>
        <v>4.5</v>
      </c>
      <c r="I65" s="120">
        <f>'CUSTOM FEED SET-UP'!L7</f>
        <v>0</v>
      </c>
      <c r="J65" s="120">
        <f>'CUSTOM FEED SET-UP'!M7</f>
        <v>0</v>
      </c>
      <c r="K65" s="120">
        <f>'CUSTOM FEED SET-UP'!N7</f>
        <v>0</v>
      </c>
      <c r="L65" s="120">
        <f>'CUSTOM FEED SET-UP'!O7</f>
        <v>0</v>
      </c>
      <c r="M65" s="1245" t="e">
        <f>'CUSTOM FEED SET-UP'!#REF!</f>
        <v>#REF!</v>
      </c>
      <c r="N65" s="120">
        <f>'CUSTOM FEED SET-UP'!P7</f>
        <v>0.4</v>
      </c>
      <c r="O65" s="120">
        <f>'CUSTOM FEED SET-UP'!Q7</f>
        <v>2.12</v>
      </c>
      <c r="P65" s="120">
        <f>'CUSTOM FEED SET-UP'!R7</f>
        <v>0.30000000000000004</v>
      </c>
      <c r="Q65" s="120">
        <f>'CUSTOM FEED SET-UP'!S7</f>
        <v>9.2999999999999999E-2</v>
      </c>
      <c r="R65" s="120">
        <f>'CUSTOM FEED SET-UP'!T7</f>
        <v>0.24400000000000002</v>
      </c>
      <c r="S65" s="120">
        <f>'CUSTOM FEED SET-UP'!U7</f>
        <v>0.30599999999999999</v>
      </c>
      <c r="T65" s="120">
        <f>'CUSTOM FEED SET-UP'!V7</f>
        <v>0.14700000000000002</v>
      </c>
      <c r="U65" s="896"/>
      <c r="V65" s="896"/>
    </row>
    <row r="66" spans="1:22">
      <c r="B66" s="895" t="str">
        <f>'CUSTOM FEED SET-UP'!B8</f>
        <v>Bulb 85% Leaf 15%</v>
      </c>
      <c r="C66" s="120">
        <f>'CUSTOM FEED SET-UP'!F8</f>
        <v>11.05</v>
      </c>
      <c r="D66" s="120">
        <f>'CUSTOM FEED SET-UP'!G8</f>
        <v>11.76</v>
      </c>
      <c r="E66" s="120">
        <f>'CUSTOM FEED SET-UP'!H8</f>
        <v>10.309999999999999</v>
      </c>
      <c r="F66" s="120">
        <f>'CUSTOM FEED SET-UP'!I8</f>
        <v>14.489999999999998</v>
      </c>
      <c r="G66" s="120">
        <f>'CUSTOM FEED SET-UP'!J8</f>
        <v>57.024999999999999</v>
      </c>
      <c r="H66" s="120">
        <f>'CUSTOM FEED SET-UP'!K8</f>
        <v>4.25</v>
      </c>
      <c r="I66" s="120">
        <f>'CUSTOM FEED SET-UP'!L8</f>
        <v>0</v>
      </c>
      <c r="J66" s="120">
        <f>'CUSTOM FEED SET-UP'!M8</f>
        <v>0</v>
      </c>
      <c r="K66" s="120">
        <f>'CUSTOM FEED SET-UP'!N8</f>
        <v>0</v>
      </c>
      <c r="L66" s="120">
        <f>'CUSTOM FEED SET-UP'!O8</f>
        <v>0</v>
      </c>
      <c r="M66" s="1245" t="e">
        <f>'CUSTOM FEED SET-UP'!#REF!</f>
        <v>#REF!</v>
      </c>
      <c r="N66" s="120">
        <f>'CUSTOM FEED SET-UP'!P8</f>
        <v>0.45</v>
      </c>
      <c r="O66" s="120">
        <f>'CUSTOM FEED SET-UP'!Q8</f>
        <v>2.1799999999999997</v>
      </c>
      <c r="P66" s="120">
        <f>'CUSTOM FEED SET-UP'!R8</f>
        <v>0.3</v>
      </c>
      <c r="Q66" s="120">
        <f>'CUSTOM FEED SET-UP'!S8</f>
        <v>0.10450000000000001</v>
      </c>
      <c r="R66" s="120">
        <f>'CUSTOM FEED SET-UP'!T8</f>
        <v>0.28600000000000003</v>
      </c>
      <c r="S66" s="120">
        <f>'CUSTOM FEED SET-UP'!U8</f>
        <v>0.38900000000000001</v>
      </c>
      <c r="T66" s="120">
        <f>'CUSTOM FEED SET-UP'!V8</f>
        <v>0.1555</v>
      </c>
      <c r="U66" s="896"/>
      <c r="V66" s="896"/>
    </row>
    <row r="67" spans="1:22">
      <c r="B67" s="895" t="str">
        <f>'CUSTOM FEED SET-UP'!B9</f>
        <v>Bulb 80% Leaf 20%</v>
      </c>
      <c r="C67" s="120">
        <f>'CUSTOM FEED SET-UP'!F9</f>
        <v>11.4</v>
      </c>
      <c r="D67" s="120">
        <f>'CUSTOM FEED SET-UP'!G9</f>
        <v>11.68</v>
      </c>
      <c r="E67" s="120">
        <f>'CUSTOM FEED SET-UP'!H9</f>
        <v>10.879999999999999</v>
      </c>
      <c r="F67" s="120">
        <f>'CUSTOM FEED SET-UP'!I9</f>
        <v>15.52</v>
      </c>
      <c r="G67" s="120">
        <f>'CUSTOM FEED SET-UP'!J9</f>
        <v>54.7</v>
      </c>
      <c r="H67" s="120">
        <f>'CUSTOM FEED SET-UP'!K9</f>
        <v>4</v>
      </c>
      <c r="I67" s="120">
        <f>'CUSTOM FEED SET-UP'!L9</f>
        <v>0</v>
      </c>
      <c r="J67" s="120">
        <f>'CUSTOM FEED SET-UP'!M9</f>
        <v>0</v>
      </c>
      <c r="K67" s="120">
        <f>'CUSTOM FEED SET-UP'!N9</f>
        <v>0</v>
      </c>
      <c r="L67" s="120">
        <f>'CUSTOM FEED SET-UP'!O9</f>
        <v>0</v>
      </c>
      <c r="M67" s="1245" t="e">
        <f>'CUSTOM FEED SET-UP'!#REF!</f>
        <v>#REF!</v>
      </c>
      <c r="N67" s="120">
        <f>'CUSTOM FEED SET-UP'!P9</f>
        <v>0.5</v>
      </c>
      <c r="O67" s="120">
        <f>'CUSTOM FEED SET-UP'!Q9</f>
        <v>2.2400000000000002</v>
      </c>
      <c r="P67" s="120">
        <f>'CUSTOM FEED SET-UP'!R9</f>
        <v>0.3</v>
      </c>
      <c r="Q67" s="120">
        <f>'CUSTOM FEED SET-UP'!S9</f>
        <v>0.11600000000000001</v>
      </c>
      <c r="R67" s="120">
        <f>'CUSTOM FEED SET-UP'!T9</f>
        <v>0.32800000000000001</v>
      </c>
      <c r="S67" s="120">
        <f>'CUSTOM FEED SET-UP'!U9</f>
        <v>0.47199999999999998</v>
      </c>
      <c r="T67" s="120">
        <f>'CUSTOM FEED SET-UP'!V9</f>
        <v>0.16400000000000001</v>
      </c>
      <c r="U67" s="896"/>
      <c r="V67" s="896"/>
    </row>
    <row r="68" spans="1:22">
      <c r="B68" s="895" t="str">
        <f>'CUSTOM FEED SET-UP'!B10</f>
        <v>Bulb 75% Leaf 25%</v>
      </c>
      <c r="C68" s="120">
        <f>'CUSTOM FEED SET-UP'!F10</f>
        <v>11.75</v>
      </c>
      <c r="D68" s="120">
        <f>'CUSTOM FEED SET-UP'!G10</f>
        <v>11.6</v>
      </c>
      <c r="E68" s="120">
        <f>'CUSTOM FEED SET-UP'!H10</f>
        <v>11.45</v>
      </c>
      <c r="F68" s="120">
        <f>'CUSTOM FEED SET-UP'!I10</f>
        <v>16.55</v>
      </c>
      <c r="G68" s="120">
        <f>'CUSTOM FEED SET-UP'!J10</f>
        <v>52.375</v>
      </c>
      <c r="H68" s="120">
        <f>'CUSTOM FEED SET-UP'!K10</f>
        <v>3.75</v>
      </c>
      <c r="I68" s="120">
        <f>'CUSTOM FEED SET-UP'!L10</f>
        <v>0</v>
      </c>
      <c r="J68" s="120">
        <f>'CUSTOM FEED SET-UP'!M10</f>
        <v>0</v>
      </c>
      <c r="K68" s="120">
        <f>'CUSTOM FEED SET-UP'!N10</f>
        <v>0</v>
      </c>
      <c r="L68" s="120">
        <f>'CUSTOM FEED SET-UP'!O10</f>
        <v>0</v>
      </c>
      <c r="M68" s="1245" t="e">
        <f>'CUSTOM FEED SET-UP'!#REF!</f>
        <v>#REF!</v>
      </c>
      <c r="N68" s="120">
        <f>'CUSTOM FEED SET-UP'!P10</f>
        <v>0.55000000000000004</v>
      </c>
      <c r="O68" s="120">
        <f>'CUSTOM FEED SET-UP'!Q10</f>
        <v>2.2999999999999998</v>
      </c>
      <c r="P68" s="120">
        <f>'CUSTOM FEED SET-UP'!R10</f>
        <v>0.3</v>
      </c>
      <c r="Q68" s="120">
        <f>'CUSTOM FEED SET-UP'!S10</f>
        <v>0.1275</v>
      </c>
      <c r="R68" s="120">
        <f>'CUSTOM FEED SET-UP'!T10</f>
        <v>0.37</v>
      </c>
      <c r="S68" s="120">
        <f>'CUSTOM FEED SET-UP'!U10</f>
        <v>0.55500000000000005</v>
      </c>
      <c r="T68" s="120">
        <f>'CUSTOM FEED SET-UP'!V10</f>
        <v>0.17249999999999999</v>
      </c>
      <c r="U68" s="896"/>
      <c r="V68" s="896"/>
    </row>
    <row r="69" spans="1:22">
      <c r="B69" s="895" t="str">
        <f>'CUSTOM FEED SET-UP'!B11</f>
        <v>Bulb 70% leaf 30%</v>
      </c>
      <c r="C69" s="120">
        <f>'CUSTOM FEED SET-UP'!F11</f>
        <v>12.1</v>
      </c>
      <c r="D69" s="120">
        <f>'CUSTOM FEED SET-UP'!G11</f>
        <v>11.52</v>
      </c>
      <c r="E69" s="120">
        <f>'CUSTOM FEED SET-UP'!H11</f>
        <v>12.02</v>
      </c>
      <c r="F69" s="120">
        <f>'CUSTOM FEED SET-UP'!I11</f>
        <v>17.579999999999998</v>
      </c>
      <c r="G69" s="120">
        <f>'CUSTOM FEED SET-UP'!J11</f>
        <v>50.05</v>
      </c>
      <c r="H69" s="120">
        <f>'CUSTOM FEED SET-UP'!K11</f>
        <v>3.5</v>
      </c>
      <c r="I69" s="120">
        <f>'CUSTOM FEED SET-UP'!L11</f>
        <v>0</v>
      </c>
      <c r="J69" s="120">
        <f>'CUSTOM FEED SET-UP'!M11</f>
        <v>0</v>
      </c>
      <c r="K69" s="120">
        <f>'CUSTOM FEED SET-UP'!N11</f>
        <v>0</v>
      </c>
      <c r="L69" s="120">
        <f>'CUSTOM FEED SET-UP'!O11</f>
        <v>0</v>
      </c>
      <c r="M69" s="1245" t="e">
        <f>'CUSTOM FEED SET-UP'!#REF!</f>
        <v>#REF!</v>
      </c>
      <c r="N69" s="120">
        <f>'CUSTOM FEED SET-UP'!P11</f>
        <v>0.6</v>
      </c>
      <c r="O69" s="120">
        <f>'CUSTOM FEED SET-UP'!Q11</f>
        <v>2.36</v>
      </c>
      <c r="P69" s="120">
        <f>'CUSTOM FEED SET-UP'!R11</f>
        <v>0.3</v>
      </c>
      <c r="Q69" s="120">
        <f>'CUSTOM FEED SET-UP'!S11</f>
        <v>0.13900000000000001</v>
      </c>
      <c r="R69" s="120">
        <f>'CUSTOM FEED SET-UP'!T11</f>
        <v>0.41200000000000003</v>
      </c>
      <c r="S69" s="120">
        <f>'CUSTOM FEED SET-UP'!U11</f>
        <v>0.63800000000000001</v>
      </c>
      <c r="T69" s="120">
        <f>'CUSTOM FEED SET-UP'!V11</f>
        <v>0.18099999999999999</v>
      </c>
      <c r="U69" s="896"/>
      <c r="V69" s="896"/>
    </row>
    <row r="70" spans="1:22">
      <c r="B70" s="895" t="str">
        <f>'CUSTOM FEED SET-UP'!B2</f>
        <v>Custom: Bulb% &amp; Leaf%</v>
      </c>
      <c r="C70" s="120">
        <f>'CUSTOM FEED SET-UP'!F12</f>
        <v>0</v>
      </c>
      <c r="D70" s="120">
        <f>'CUSTOM FEED SET-UP'!G12</f>
        <v>0</v>
      </c>
      <c r="E70" s="120">
        <f>'CUSTOM FEED SET-UP'!H12</f>
        <v>0</v>
      </c>
      <c r="F70" s="120">
        <f>'CUSTOM FEED SET-UP'!I12</f>
        <v>0</v>
      </c>
      <c r="G70" s="120">
        <f>'CUSTOM FEED SET-UP'!J12</f>
        <v>0</v>
      </c>
      <c r="H70" s="120">
        <f>'CUSTOM FEED SET-UP'!K12</f>
        <v>0</v>
      </c>
      <c r="I70" s="120">
        <f>'CUSTOM FEED SET-UP'!L12</f>
        <v>0</v>
      </c>
      <c r="J70" s="120">
        <f>'CUSTOM FEED SET-UP'!M12</f>
        <v>0</v>
      </c>
      <c r="K70" s="120">
        <f>'CUSTOM FEED SET-UP'!N12</f>
        <v>0</v>
      </c>
      <c r="L70" s="120">
        <f>'CUSTOM FEED SET-UP'!O12</f>
        <v>0</v>
      </c>
      <c r="M70" s="1245" t="e">
        <f>'CUSTOM FEED SET-UP'!#REF!</f>
        <v>#REF!</v>
      </c>
      <c r="N70" s="120">
        <f>'CUSTOM FEED SET-UP'!P12</f>
        <v>0</v>
      </c>
      <c r="O70" s="120">
        <f>'CUSTOM FEED SET-UP'!Q12</f>
        <v>0</v>
      </c>
      <c r="P70" s="120">
        <f>'CUSTOM FEED SET-UP'!R12</f>
        <v>0</v>
      </c>
      <c r="Q70" s="120">
        <f>'CUSTOM FEED SET-UP'!S12</f>
        <v>0</v>
      </c>
      <c r="R70" s="120">
        <f>'CUSTOM FEED SET-UP'!T12</f>
        <v>0</v>
      </c>
      <c r="S70" s="120">
        <f>'CUSTOM FEED SET-UP'!U12</f>
        <v>0</v>
      </c>
      <c r="T70" s="120">
        <f>'CUSTOM FEED SET-UP'!V12</f>
        <v>0</v>
      </c>
      <c r="U70" s="896"/>
      <c r="V70" s="896"/>
    </row>
    <row r="71" spans="1:22">
      <c r="B71" s="895"/>
      <c r="C71" s="1642"/>
      <c r="D71" s="1642"/>
      <c r="E71" s="1642"/>
      <c r="F71" s="1642"/>
      <c r="G71" s="1642"/>
      <c r="H71" s="1642"/>
      <c r="I71" s="1642"/>
      <c r="J71" s="1642"/>
      <c r="K71" s="1642"/>
      <c r="L71" s="1642"/>
      <c r="M71" s="1642"/>
      <c r="N71" s="1642"/>
      <c r="O71" s="1642"/>
      <c r="P71" s="1642"/>
      <c r="Q71" s="1642"/>
      <c r="R71" s="1642"/>
      <c r="S71" s="1642"/>
      <c r="T71" s="1642"/>
      <c r="U71" s="896"/>
      <c r="V71" s="896"/>
    </row>
    <row r="72" spans="1:22">
      <c r="A72" s="653" t="s">
        <v>638</v>
      </c>
      <c r="B72" s="42" t="str">
        <f>'CUSTOM FEED SET-UP'!B16</f>
        <v>Custom_Crops</v>
      </c>
      <c r="C72" s="1642"/>
      <c r="D72" s="1642"/>
      <c r="E72" s="1642"/>
      <c r="F72" s="1642"/>
      <c r="G72" s="1642"/>
      <c r="H72" s="1642"/>
      <c r="I72" s="1642"/>
      <c r="J72" s="1642"/>
      <c r="K72" s="1642"/>
      <c r="L72" s="1642"/>
      <c r="M72" s="1642"/>
      <c r="N72" s="1642"/>
      <c r="O72" s="1642"/>
      <c r="P72" s="1642"/>
      <c r="Q72" s="1642"/>
      <c r="R72" s="1642"/>
      <c r="S72" s="1642"/>
      <c r="T72" s="1642"/>
      <c r="U72" s="896"/>
      <c r="V72" s="896"/>
    </row>
    <row r="73" spans="1:22">
      <c r="B73" s="895" t="str">
        <f>'CUSTOM FEED SET-UP'!B17</f>
        <v xml:space="preserve"> Bulb only</v>
      </c>
      <c r="C73" s="120">
        <f>'CUSTOM FEED SET-UP'!F17</f>
        <v>0</v>
      </c>
      <c r="D73" s="120">
        <f>'CUSTOM FEED SET-UP'!G17</f>
        <v>0</v>
      </c>
      <c r="E73" s="120">
        <f>'CUSTOM FEED SET-UP'!H17</f>
        <v>0</v>
      </c>
      <c r="F73" s="120">
        <f>'CUSTOM FEED SET-UP'!I17</f>
        <v>0</v>
      </c>
      <c r="G73" s="120">
        <f>'CUSTOM FEED SET-UP'!J17</f>
        <v>0</v>
      </c>
      <c r="H73" s="120">
        <f>'CUSTOM FEED SET-UP'!K17</f>
        <v>0</v>
      </c>
      <c r="I73" s="120">
        <f>'CUSTOM FEED SET-UP'!L17</f>
        <v>0</v>
      </c>
      <c r="J73" s="120">
        <f>'CUSTOM FEED SET-UP'!M17</f>
        <v>0</v>
      </c>
      <c r="K73" s="120">
        <f>'CUSTOM FEED SET-UP'!N17</f>
        <v>0</v>
      </c>
      <c r="L73" s="120">
        <f>'CUSTOM FEED SET-UP'!O17</f>
        <v>0</v>
      </c>
      <c r="M73" s="120">
        <f>'CUSTOM FEED SET-UP'!E17</f>
        <v>0</v>
      </c>
      <c r="N73" s="120">
        <f>'CUSTOM FEED SET-UP'!P17</f>
        <v>0</v>
      </c>
      <c r="O73" s="120">
        <f>'CUSTOM FEED SET-UP'!Q17</f>
        <v>0</v>
      </c>
      <c r="P73" s="120">
        <f>'CUSTOM FEED SET-UP'!R17</f>
        <v>0</v>
      </c>
      <c r="Q73" s="120">
        <f>'CUSTOM FEED SET-UP'!S17</f>
        <v>0</v>
      </c>
      <c r="R73" s="120">
        <f>'CUSTOM FEED SET-UP'!T17</f>
        <v>0</v>
      </c>
      <c r="S73" s="120">
        <f>'CUSTOM FEED SET-UP'!U17</f>
        <v>0</v>
      </c>
      <c r="T73" s="120">
        <f>'CUSTOM FEED SET-UP'!V17</f>
        <v>0</v>
      </c>
      <c r="U73" s="896"/>
      <c r="V73" s="896"/>
    </row>
    <row r="74" spans="1:22">
      <c r="B74" s="895" t="str">
        <f>'CUSTOM FEED SET-UP'!B18</f>
        <v xml:space="preserve"> Leaf only</v>
      </c>
      <c r="C74" s="120">
        <f>'CUSTOM FEED SET-UP'!F18</f>
        <v>0</v>
      </c>
      <c r="D74" s="120">
        <f>'CUSTOM FEED SET-UP'!G18</f>
        <v>0</v>
      </c>
      <c r="E74" s="120">
        <f>'CUSTOM FEED SET-UP'!H18</f>
        <v>0</v>
      </c>
      <c r="F74" s="120">
        <f>'CUSTOM FEED SET-UP'!I18</f>
        <v>0</v>
      </c>
      <c r="G74" s="120">
        <f>'CUSTOM FEED SET-UP'!J18</f>
        <v>0</v>
      </c>
      <c r="H74" s="120">
        <f>'CUSTOM FEED SET-UP'!K18</f>
        <v>0</v>
      </c>
      <c r="I74" s="120">
        <f>'CUSTOM FEED SET-UP'!L18</f>
        <v>0</v>
      </c>
      <c r="J74" s="120">
        <f>'CUSTOM FEED SET-UP'!M18</f>
        <v>0</v>
      </c>
      <c r="K74" s="120">
        <f>'CUSTOM FEED SET-UP'!N18</f>
        <v>0</v>
      </c>
      <c r="L74" s="120">
        <f>'CUSTOM FEED SET-UP'!O18</f>
        <v>0</v>
      </c>
      <c r="M74" s="120">
        <f>'CUSTOM FEED SET-UP'!E18</f>
        <v>0</v>
      </c>
      <c r="N74" s="120">
        <f>'CUSTOM FEED SET-UP'!P18</f>
        <v>0</v>
      </c>
      <c r="O74" s="120">
        <f>'CUSTOM FEED SET-UP'!Q18</f>
        <v>0</v>
      </c>
      <c r="P74" s="120">
        <f>'CUSTOM FEED SET-UP'!R18</f>
        <v>0</v>
      </c>
      <c r="Q74" s="120">
        <f>'CUSTOM FEED SET-UP'!S18</f>
        <v>0</v>
      </c>
      <c r="R74" s="120">
        <f>'CUSTOM FEED SET-UP'!T18</f>
        <v>0</v>
      </c>
      <c r="S74" s="120">
        <f>'CUSTOM FEED SET-UP'!U18</f>
        <v>0</v>
      </c>
      <c r="T74" s="120">
        <f>'CUSTOM FEED SET-UP'!V18</f>
        <v>0</v>
      </c>
      <c r="U74" s="896"/>
      <c r="V74" s="896"/>
    </row>
    <row r="75" spans="1:22">
      <c r="B75" s="895" t="str">
        <f>'CUSTOM FEED SET-UP'!B19</f>
        <v xml:space="preserve"> Bulb 90% Leaf 10%</v>
      </c>
      <c r="C75" s="120">
        <f>'CUSTOM FEED SET-UP'!F19</f>
        <v>0</v>
      </c>
      <c r="D75" s="120">
        <f>'CUSTOM FEED SET-UP'!G19</f>
        <v>0</v>
      </c>
      <c r="E75" s="120">
        <f>'CUSTOM FEED SET-UP'!H19</f>
        <v>0</v>
      </c>
      <c r="F75" s="120">
        <f>'CUSTOM FEED SET-UP'!I19</f>
        <v>0</v>
      </c>
      <c r="G75" s="120">
        <f>'CUSTOM FEED SET-UP'!J19</f>
        <v>0</v>
      </c>
      <c r="H75" s="120">
        <f>'CUSTOM FEED SET-UP'!K19</f>
        <v>0</v>
      </c>
      <c r="I75" s="120">
        <f>'CUSTOM FEED SET-UP'!L19</f>
        <v>0</v>
      </c>
      <c r="J75" s="120">
        <f>'CUSTOM FEED SET-UP'!M19</f>
        <v>0</v>
      </c>
      <c r="K75" s="120">
        <f>'CUSTOM FEED SET-UP'!N19</f>
        <v>0</v>
      </c>
      <c r="L75" s="120">
        <f>'CUSTOM FEED SET-UP'!O19</f>
        <v>0</v>
      </c>
      <c r="M75" s="120">
        <f>'CUSTOM FEED SET-UP'!E19</f>
        <v>0</v>
      </c>
      <c r="N75" s="120">
        <f>'CUSTOM FEED SET-UP'!P19</f>
        <v>0</v>
      </c>
      <c r="O75" s="120">
        <f>'CUSTOM FEED SET-UP'!Q19</f>
        <v>0</v>
      </c>
      <c r="P75" s="120">
        <f>'CUSTOM FEED SET-UP'!R19</f>
        <v>0</v>
      </c>
      <c r="Q75" s="120">
        <f>'CUSTOM FEED SET-UP'!S19</f>
        <v>0</v>
      </c>
      <c r="R75" s="120">
        <f>'CUSTOM FEED SET-UP'!T19</f>
        <v>0</v>
      </c>
      <c r="S75" s="120">
        <f>'CUSTOM FEED SET-UP'!U19</f>
        <v>0</v>
      </c>
      <c r="T75" s="120">
        <f>'CUSTOM FEED SET-UP'!V19</f>
        <v>0</v>
      </c>
      <c r="U75" s="896"/>
      <c r="V75" s="896"/>
    </row>
    <row r="76" spans="1:22">
      <c r="B76" s="895" t="str">
        <f>'CUSTOM FEED SET-UP'!B20</f>
        <v xml:space="preserve"> Bulb 85% Leaf 15%</v>
      </c>
      <c r="C76" s="120">
        <f>'CUSTOM FEED SET-UP'!F20</f>
        <v>0</v>
      </c>
      <c r="D76" s="120">
        <f>'CUSTOM FEED SET-UP'!G20</f>
        <v>0</v>
      </c>
      <c r="E76" s="120">
        <f>'CUSTOM FEED SET-UP'!H20</f>
        <v>0</v>
      </c>
      <c r="F76" s="120">
        <f>'CUSTOM FEED SET-UP'!I20</f>
        <v>0</v>
      </c>
      <c r="G76" s="120">
        <f>'CUSTOM FEED SET-UP'!J20</f>
        <v>0</v>
      </c>
      <c r="H76" s="120">
        <f>'CUSTOM FEED SET-UP'!K20</f>
        <v>0</v>
      </c>
      <c r="I76" s="120">
        <f>'CUSTOM FEED SET-UP'!L20</f>
        <v>0</v>
      </c>
      <c r="J76" s="120">
        <f>'CUSTOM FEED SET-UP'!M20</f>
        <v>0</v>
      </c>
      <c r="K76" s="120">
        <f>'CUSTOM FEED SET-UP'!N20</f>
        <v>0</v>
      </c>
      <c r="L76" s="120">
        <f>'CUSTOM FEED SET-UP'!O20</f>
        <v>0</v>
      </c>
      <c r="M76" s="120">
        <f>'CUSTOM FEED SET-UP'!E20</f>
        <v>0</v>
      </c>
      <c r="N76" s="120">
        <f>'CUSTOM FEED SET-UP'!P20</f>
        <v>0</v>
      </c>
      <c r="O76" s="120">
        <f>'CUSTOM FEED SET-UP'!Q20</f>
        <v>0</v>
      </c>
      <c r="P76" s="120">
        <f>'CUSTOM FEED SET-UP'!R20</f>
        <v>0</v>
      </c>
      <c r="Q76" s="120">
        <f>'CUSTOM FEED SET-UP'!S20</f>
        <v>0</v>
      </c>
      <c r="R76" s="120">
        <f>'CUSTOM FEED SET-UP'!T20</f>
        <v>0</v>
      </c>
      <c r="S76" s="120">
        <f>'CUSTOM FEED SET-UP'!U20</f>
        <v>0</v>
      </c>
      <c r="T76" s="120">
        <f>'CUSTOM FEED SET-UP'!V20</f>
        <v>0</v>
      </c>
      <c r="U76" s="896"/>
      <c r="V76" s="896"/>
    </row>
    <row r="77" spans="1:22">
      <c r="B77" s="895" t="str">
        <f>'CUSTOM FEED SET-UP'!B21</f>
        <v xml:space="preserve"> Bulb 80% Leaf 20%</v>
      </c>
      <c r="C77" s="120">
        <f>'CUSTOM FEED SET-UP'!F21</f>
        <v>0</v>
      </c>
      <c r="D77" s="120">
        <f>'CUSTOM FEED SET-UP'!G21</f>
        <v>0</v>
      </c>
      <c r="E77" s="120">
        <f>'CUSTOM FEED SET-UP'!H21</f>
        <v>0</v>
      </c>
      <c r="F77" s="120">
        <f>'CUSTOM FEED SET-UP'!I21</f>
        <v>0</v>
      </c>
      <c r="G77" s="120">
        <f>'CUSTOM FEED SET-UP'!J21</f>
        <v>0</v>
      </c>
      <c r="H77" s="120">
        <f>'CUSTOM FEED SET-UP'!K21</f>
        <v>0</v>
      </c>
      <c r="I77" s="120">
        <f>'CUSTOM FEED SET-UP'!L21</f>
        <v>0</v>
      </c>
      <c r="J77" s="120">
        <f>'CUSTOM FEED SET-UP'!M21</f>
        <v>0</v>
      </c>
      <c r="K77" s="120">
        <f>'CUSTOM FEED SET-UP'!N21</f>
        <v>0</v>
      </c>
      <c r="L77" s="120">
        <f>'CUSTOM FEED SET-UP'!O21</f>
        <v>0</v>
      </c>
      <c r="M77" s="120">
        <f>'CUSTOM FEED SET-UP'!E21</f>
        <v>0</v>
      </c>
      <c r="N77" s="120">
        <f>'CUSTOM FEED SET-UP'!P21</f>
        <v>0</v>
      </c>
      <c r="O77" s="120">
        <f>'CUSTOM FEED SET-UP'!Q21</f>
        <v>0</v>
      </c>
      <c r="P77" s="120">
        <f>'CUSTOM FEED SET-UP'!R21</f>
        <v>0</v>
      </c>
      <c r="Q77" s="120">
        <f>'CUSTOM FEED SET-UP'!S21</f>
        <v>0</v>
      </c>
      <c r="R77" s="120">
        <f>'CUSTOM FEED SET-UP'!T21</f>
        <v>0</v>
      </c>
      <c r="S77" s="120">
        <f>'CUSTOM FEED SET-UP'!U21</f>
        <v>0</v>
      </c>
      <c r="T77" s="120">
        <f>'CUSTOM FEED SET-UP'!V21</f>
        <v>0</v>
      </c>
      <c r="U77" s="896"/>
      <c r="V77" s="896"/>
    </row>
    <row r="78" spans="1:22">
      <c r="B78" s="895" t="str">
        <f>'CUSTOM FEED SET-UP'!B22</f>
        <v xml:space="preserve"> Bulb 75% Leaf 25%</v>
      </c>
      <c r="C78" s="120">
        <f>'CUSTOM FEED SET-UP'!F22</f>
        <v>0</v>
      </c>
      <c r="D78" s="120">
        <f>'CUSTOM FEED SET-UP'!G22</f>
        <v>0</v>
      </c>
      <c r="E78" s="120">
        <f>'CUSTOM FEED SET-UP'!H22</f>
        <v>0</v>
      </c>
      <c r="F78" s="120">
        <f>'CUSTOM FEED SET-UP'!I22</f>
        <v>0</v>
      </c>
      <c r="G78" s="120">
        <f>'CUSTOM FEED SET-UP'!J22</f>
        <v>0</v>
      </c>
      <c r="H78" s="120">
        <f>'CUSTOM FEED SET-UP'!K22</f>
        <v>0</v>
      </c>
      <c r="I78" s="120">
        <f>'CUSTOM FEED SET-UP'!L22</f>
        <v>0</v>
      </c>
      <c r="J78" s="120">
        <f>'CUSTOM FEED SET-UP'!M22</f>
        <v>0</v>
      </c>
      <c r="K78" s="120">
        <f>'CUSTOM FEED SET-UP'!N22</f>
        <v>0</v>
      </c>
      <c r="L78" s="120">
        <f>'CUSTOM FEED SET-UP'!O22</f>
        <v>0</v>
      </c>
      <c r="M78" s="120">
        <f>'CUSTOM FEED SET-UP'!E22</f>
        <v>0</v>
      </c>
      <c r="N78" s="120">
        <f>'CUSTOM FEED SET-UP'!P22</f>
        <v>0</v>
      </c>
      <c r="O78" s="120">
        <f>'CUSTOM FEED SET-UP'!Q22</f>
        <v>0</v>
      </c>
      <c r="P78" s="120">
        <f>'CUSTOM FEED SET-UP'!R22</f>
        <v>0</v>
      </c>
      <c r="Q78" s="120">
        <f>'CUSTOM FEED SET-UP'!S22</f>
        <v>0</v>
      </c>
      <c r="R78" s="120">
        <f>'CUSTOM FEED SET-UP'!T22</f>
        <v>0</v>
      </c>
      <c r="S78" s="120">
        <f>'CUSTOM FEED SET-UP'!U22</f>
        <v>0</v>
      </c>
      <c r="T78" s="120">
        <f>'CUSTOM FEED SET-UP'!V22</f>
        <v>0</v>
      </c>
      <c r="U78" s="896"/>
      <c r="V78" s="896"/>
    </row>
    <row r="79" spans="1:22">
      <c r="B79" s="895" t="str">
        <f>'CUSTOM FEED SET-UP'!B23</f>
        <v xml:space="preserve"> Bulb 70% leaf 30%</v>
      </c>
      <c r="C79" s="120">
        <f>'CUSTOM FEED SET-UP'!F23</f>
        <v>0</v>
      </c>
      <c r="D79" s="120">
        <f>'CUSTOM FEED SET-UP'!G23</f>
        <v>0</v>
      </c>
      <c r="E79" s="120">
        <f>'CUSTOM FEED SET-UP'!H23</f>
        <v>0</v>
      </c>
      <c r="F79" s="120">
        <f>'CUSTOM FEED SET-UP'!I23</f>
        <v>0</v>
      </c>
      <c r="G79" s="120">
        <f>'CUSTOM FEED SET-UP'!J23</f>
        <v>0</v>
      </c>
      <c r="H79" s="120">
        <f>'CUSTOM FEED SET-UP'!K23</f>
        <v>0</v>
      </c>
      <c r="I79" s="120">
        <f>'CUSTOM FEED SET-UP'!L23</f>
        <v>0</v>
      </c>
      <c r="J79" s="120">
        <f>'CUSTOM FEED SET-UP'!M23</f>
        <v>0</v>
      </c>
      <c r="K79" s="120">
        <f>'CUSTOM FEED SET-UP'!N23</f>
        <v>0</v>
      </c>
      <c r="L79" s="120">
        <f>'CUSTOM FEED SET-UP'!O23</f>
        <v>0</v>
      </c>
      <c r="M79" s="120">
        <f>'CUSTOM FEED SET-UP'!E23</f>
        <v>0</v>
      </c>
      <c r="N79" s="120">
        <f>'CUSTOM FEED SET-UP'!P23</f>
        <v>0</v>
      </c>
      <c r="O79" s="120">
        <f>'CUSTOM FEED SET-UP'!Q23</f>
        <v>0</v>
      </c>
      <c r="P79" s="120">
        <f>'CUSTOM FEED SET-UP'!R23</f>
        <v>0</v>
      </c>
      <c r="Q79" s="120">
        <f>'CUSTOM FEED SET-UP'!S23</f>
        <v>0</v>
      </c>
      <c r="R79" s="120">
        <f>'CUSTOM FEED SET-UP'!T23</f>
        <v>0</v>
      </c>
      <c r="S79" s="120">
        <f>'CUSTOM FEED SET-UP'!U23</f>
        <v>0</v>
      </c>
      <c r="T79" s="120">
        <f>'CUSTOM FEED SET-UP'!V23</f>
        <v>0</v>
      </c>
      <c r="U79" s="896"/>
      <c r="V79" s="896"/>
    </row>
    <row r="80" spans="1:22">
      <c r="B80" s="1643" t="str">
        <f>'CUSTOM FEED SET-UP'!B24</f>
        <v xml:space="preserve"> Custom: Bulb% &amp; Leaf%</v>
      </c>
      <c r="C80" s="120">
        <f>'CUSTOM FEED SET-UP'!F24</f>
        <v>0</v>
      </c>
      <c r="D80" s="120">
        <f>'CUSTOM FEED SET-UP'!G24</f>
        <v>0</v>
      </c>
      <c r="E80" s="120">
        <f>'CUSTOM FEED SET-UP'!H24</f>
        <v>0</v>
      </c>
      <c r="F80" s="120">
        <f>'CUSTOM FEED SET-UP'!I24</f>
        <v>0</v>
      </c>
      <c r="G80" s="120">
        <f>'CUSTOM FEED SET-UP'!J24</f>
        <v>0</v>
      </c>
      <c r="H80" s="120">
        <f>'CUSTOM FEED SET-UP'!K24</f>
        <v>0</v>
      </c>
      <c r="I80" s="120">
        <f>'CUSTOM FEED SET-UP'!L24</f>
        <v>0</v>
      </c>
      <c r="J80" s="120">
        <f>'CUSTOM FEED SET-UP'!M24</f>
        <v>0</v>
      </c>
      <c r="K80" s="120">
        <f>'CUSTOM FEED SET-UP'!N24</f>
        <v>0</v>
      </c>
      <c r="L80" s="120">
        <f>'CUSTOM FEED SET-UP'!O24</f>
        <v>0</v>
      </c>
      <c r="M80" s="120">
        <f>'CUSTOM FEED SET-UP'!E24</f>
        <v>0</v>
      </c>
      <c r="N80" s="120">
        <f>'CUSTOM FEED SET-UP'!P24</f>
        <v>0</v>
      </c>
      <c r="O80" s="120">
        <f>'CUSTOM FEED SET-UP'!Q24</f>
        <v>0</v>
      </c>
      <c r="P80" s="120">
        <f>'CUSTOM FEED SET-UP'!R24</f>
        <v>0</v>
      </c>
      <c r="Q80" s="120">
        <f>'CUSTOM FEED SET-UP'!S24</f>
        <v>0</v>
      </c>
      <c r="R80" s="120">
        <f>'CUSTOM FEED SET-UP'!T24</f>
        <v>0</v>
      </c>
      <c r="S80" s="120">
        <f>'CUSTOM FEED SET-UP'!U24</f>
        <v>0</v>
      </c>
      <c r="T80" s="120">
        <f>'CUSTOM FEED SET-UP'!V24</f>
        <v>0</v>
      </c>
      <c r="U80" s="896"/>
      <c r="V80" s="896"/>
    </row>
    <row r="81" spans="1:22">
      <c r="B81" s="895"/>
      <c r="C81" s="120"/>
      <c r="D81" s="120"/>
      <c r="E81" s="120"/>
      <c r="F81" s="120"/>
      <c r="G81" s="120"/>
      <c r="H81" s="120"/>
      <c r="I81" s="120"/>
      <c r="J81" s="120"/>
      <c r="K81" s="120"/>
      <c r="L81" s="120"/>
      <c r="M81" s="120"/>
      <c r="N81" s="120"/>
      <c r="O81" s="120"/>
      <c r="P81" s="120"/>
      <c r="Q81" s="120"/>
      <c r="R81" s="120"/>
      <c r="S81" s="120"/>
      <c r="T81" s="120"/>
      <c r="U81" s="896"/>
      <c r="V81" s="896"/>
    </row>
    <row r="82" spans="1:22">
      <c r="B82" s="895"/>
      <c r="C82" s="1642"/>
      <c r="D82" s="1642"/>
      <c r="E82" s="1642"/>
      <c r="F82" s="1642"/>
      <c r="G82" s="1642"/>
      <c r="H82" s="1642"/>
      <c r="I82" s="1642"/>
      <c r="J82" s="1642"/>
      <c r="K82" s="1642"/>
      <c r="L82" s="1642"/>
      <c r="M82" s="1642"/>
      <c r="N82" s="1642"/>
      <c r="O82" s="1642"/>
      <c r="P82" s="1642"/>
      <c r="Q82" s="1642"/>
      <c r="R82" s="1642"/>
      <c r="S82" s="1642"/>
      <c r="T82" s="1642"/>
      <c r="U82" s="896"/>
      <c r="V82" s="896"/>
    </row>
    <row r="83" spans="1:22">
      <c r="A83" t="s">
        <v>516</v>
      </c>
      <c r="B83" s="1641" t="str">
        <f>'CUSTOM FEED SET-UP'!B34</f>
        <v>Custom feed 1</v>
      </c>
      <c r="C83" s="1235">
        <f>'CUSTOM FEED SET-UP'!F34</f>
        <v>0</v>
      </c>
      <c r="D83" s="1235">
        <f>'CUSTOM FEED SET-UP'!G34</f>
        <v>0</v>
      </c>
      <c r="E83" s="1235">
        <f>'CUSTOM FEED SET-UP'!H34</f>
        <v>0</v>
      </c>
      <c r="F83" s="1235">
        <f>'CUSTOM FEED SET-UP'!I34</f>
        <v>0</v>
      </c>
      <c r="G83" s="1235">
        <f>'CUSTOM FEED SET-UP'!J34</f>
        <v>0</v>
      </c>
      <c r="H83" s="1235">
        <f>'CUSTOM FEED SET-UP'!K34</f>
        <v>0</v>
      </c>
      <c r="I83" s="1235">
        <f>'CUSTOM FEED SET-UP'!L34</f>
        <v>0</v>
      </c>
      <c r="J83" s="1235">
        <f>'CUSTOM FEED SET-UP'!M34</f>
        <v>0</v>
      </c>
      <c r="K83" s="1235">
        <f>'CUSTOM FEED SET-UP'!N34</f>
        <v>0</v>
      </c>
      <c r="L83" s="1235">
        <f>'CUSTOM FEED SET-UP'!O34</f>
        <v>0</v>
      </c>
      <c r="M83" s="1235">
        <f>'CUSTOM FEED SET-UP'!E34</f>
        <v>0</v>
      </c>
      <c r="N83" s="1235">
        <f>'CUSTOM FEED SET-UP'!P34</f>
        <v>0</v>
      </c>
      <c r="O83" s="1235">
        <f>'CUSTOM FEED SET-UP'!Q34</f>
        <v>0</v>
      </c>
      <c r="P83" s="1235">
        <f>'CUSTOM FEED SET-UP'!R34</f>
        <v>0</v>
      </c>
      <c r="Q83" s="1235">
        <f>'CUSTOM FEED SET-UP'!S34</f>
        <v>0</v>
      </c>
      <c r="R83" s="1235">
        <f>'CUSTOM FEED SET-UP'!T34</f>
        <v>0</v>
      </c>
      <c r="S83" s="1235">
        <f>'CUSTOM FEED SET-UP'!U34</f>
        <v>0</v>
      </c>
      <c r="T83" s="1235">
        <f>'CUSTOM FEED SET-UP'!V34</f>
        <v>0</v>
      </c>
      <c r="U83" s="896"/>
      <c r="V83" s="896"/>
    </row>
    <row r="84" spans="1:22">
      <c r="B84" s="1641" t="str">
        <f>'CUSTOM FEED SET-UP'!B35</f>
        <v>Custom feed 2</v>
      </c>
      <c r="C84" s="1235">
        <f>'CUSTOM FEED SET-UP'!F35</f>
        <v>0</v>
      </c>
      <c r="D84" s="1235">
        <f>'CUSTOM FEED SET-UP'!G35</f>
        <v>0</v>
      </c>
      <c r="E84" s="1235">
        <f>'CUSTOM FEED SET-UP'!H35</f>
        <v>0</v>
      </c>
      <c r="F84" s="1235">
        <f>'CUSTOM FEED SET-UP'!I35</f>
        <v>0</v>
      </c>
      <c r="G84" s="1235">
        <f>'CUSTOM FEED SET-UP'!J35</f>
        <v>0</v>
      </c>
      <c r="H84" s="1235">
        <f>'CUSTOM FEED SET-UP'!K35</f>
        <v>0</v>
      </c>
      <c r="I84" s="1235">
        <f>'CUSTOM FEED SET-UP'!L35</f>
        <v>0</v>
      </c>
      <c r="J84" s="1235">
        <f>'CUSTOM FEED SET-UP'!M35</f>
        <v>0</v>
      </c>
      <c r="K84" s="1235">
        <f>'CUSTOM FEED SET-UP'!N35</f>
        <v>0</v>
      </c>
      <c r="L84" s="1235">
        <f>'CUSTOM FEED SET-UP'!O35</f>
        <v>0</v>
      </c>
      <c r="M84" s="1235">
        <f>'CUSTOM FEED SET-UP'!E35</f>
        <v>0</v>
      </c>
      <c r="N84" s="1235">
        <f>'CUSTOM FEED SET-UP'!P35</f>
        <v>0</v>
      </c>
      <c r="O84" s="1235">
        <f>'CUSTOM FEED SET-UP'!Q35</f>
        <v>0</v>
      </c>
      <c r="P84" s="1235">
        <f>'CUSTOM FEED SET-UP'!R35</f>
        <v>0</v>
      </c>
      <c r="Q84" s="1235">
        <f>'CUSTOM FEED SET-UP'!S35</f>
        <v>0</v>
      </c>
      <c r="R84" s="1235">
        <f>'CUSTOM FEED SET-UP'!T35</f>
        <v>0</v>
      </c>
      <c r="S84" s="1235">
        <f>'CUSTOM FEED SET-UP'!U35</f>
        <v>0</v>
      </c>
      <c r="T84" s="1235">
        <f>'CUSTOM FEED SET-UP'!V35</f>
        <v>0</v>
      </c>
      <c r="U84" s="896"/>
      <c r="V84" s="896"/>
    </row>
    <row r="85" spans="1:22">
      <c r="B85" s="1641" t="str">
        <f>'CUSTOM FEED SET-UP'!B36</f>
        <v>Custom feed 3</v>
      </c>
      <c r="C85" s="1235">
        <f>'CUSTOM FEED SET-UP'!F36</f>
        <v>0</v>
      </c>
      <c r="D85" s="1235">
        <f>'CUSTOM FEED SET-UP'!G36</f>
        <v>0</v>
      </c>
      <c r="E85" s="1235">
        <f>'CUSTOM FEED SET-UP'!H36</f>
        <v>0</v>
      </c>
      <c r="F85" s="1235">
        <f>'CUSTOM FEED SET-UP'!I36</f>
        <v>0</v>
      </c>
      <c r="G85" s="1235">
        <f>'CUSTOM FEED SET-UP'!J36</f>
        <v>0</v>
      </c>
      <c r="H85" s="1235">
        <f>'CUSTOM FEED SET-UP'!K36</f>
        <v>0</v>
      </c>
      <c r="I85" s="1235">
        <f>'CUSTOM FEED SET-UP'!L36</f>
        <v>0</v>
      </c>
      <c r="J85" s="1235">
        <f>'CUSTOM FEED SET-UP'!M36</f>
        <v>0</v>
      </c>
      <c r="K85" s="1235">
        <f>'CUSTOM FEED SET-UP'!N36</f>
        <v>0</v>
      </c>
      <c r="L85" s="1235">
        <f>'CUSTOM FEED SET-UP'!O36</f>
        <v>0</v>
      </c>
      <c r="M85" s="1235">
        <f>'CUSTOM FEED SET-UP'!E36</f>
        <v>0</v>
      </c>
      <c r="N85" s="1235">
        <f>'CUSTOM FEED SET-UP'!P36</f>
        <v>0</v>
      </c>
      <c r="O85" s="1235">
        <f>'CUSTOM FEED SET-UP'!Q36</f>
        <v>0</v>
      </c>
      <c r="P85" s="1235">
        <f>'CUSTOM FEED SET-UP'!R36</f>
        <v>0</v>
      </c>
      <c r="Q85" s="1235">
        <f>'CUSTOM FEED SET-UP'!S36</f>
        <v>0</v>
      </c>
      <c r="R85" s="1235">
        <f>'CUSTOM FEED SET-UP'!T36</f>
        <v>0</v>
      </c>
      <c r="S85" s="1235">
        <f>'CUSTOM FEED SET-UP'!U36</f>
        <v>0</v>
      </c>
      <c r="T85" s="1235">
        <f>'CUSTOM FEED SET-UP'!V36</f>
        <v>0</v>
      </c>
      <c r="U85" s="896"/>
      <c r="V85" s="896"/>
    </row>
    <row r="86" spans="1:22">
      <c r="B86" s="1641" t="str">
        <f>'CUSTOM FEED SET-UP'!B37</f>
        <v>Custom feed 4</v>
      </c>
      <c r="C86" s="1235">
        <f>'CUSTOM FEED SET-UP'!F37</f>
        <v>0</v>
      </c>
      <c r="D86" s="1235">
        <f>'CUSTOM FEED SET-UP'!G37</f>
        <v>0</v>
      </c>
      <c r="E86" s="1235">
        <f>'CUSTOM FEED SET-UP'!H37</f>
        <v>0</v>
      </c>
      <c r="F86" s="1235">
        <f>'CUSTOM FEED SET-UP'!I37</f>
        <v>0</v>
      </c>
      <c r="G86" s="1235">
        <f>'CUSTOM FEED SET-UP'!J37</f>
        <v>0</v>
      </c>
      <c r="H86" s="1235">
        <f>'CUSTOM FEED SET-UP'!K37</f>
        <v>0</v>
      </c>
      <c r="I86" s="1235">
        <f>'CUSTOM FEED SET-UP'!L37</f>
        <v>0</v>
      </c>
      <c r="J86" s="1235">
        <f>'CUSTOM FEED SET-UP'!M37</f>
        <v>0</v>
      </c>
      <c r="K86" s="1235">
        <f>'CUSTOM FEED SET-UP'!N37</f>
        <v>0</v>
      </c>
      <c r="L86" s="1235">
        <f>'CUSTOM FEED SET-UP'!O37</f>
        <v>0</v>
      </c>
      <c r="M86" s="1235">
        <f>'CUSTOM FEED SET-UP'!E37</f>
        <v>0</v>
      </c>
      <c r="N86" s="1235">
        <f>'CUSTOM FEED SET-UP'!P37</f>
        <v>0</v>
      </c>
      <c r="O86" s="1235">
        <f>'CUSTOM FEED SET-UP'!Q37</f>
        <v>0</v>
      </c>
      <c r="P86" s="1235">
        <f>'CUSTOM FEED SET-UP'!R37</f>
        <v>0</v>
      </c>
      <c r="Q86" s="1235">
        <f>'CUSTOM FEED SET-UP'!S37</f>
        <v>0</v>
      </c>
      <c r="R86" s="1235">
        <f>'CUSTOM FEED SET-UP'!T37</f>
        <v>0</v>
      </c>
      <c r="S86" s="1235">
        <f>'CUSTOM FEED SET-UP'!U37</f>
        <v>0</v>
      </c>
      <c r="T86" s="1235">
        <f>'CUSTOM FEED SET-UP'!V37</f>
        <v>0</v>
      </c>
      <c r="U86" s="896"/>
      <c r="V86" s="896"/>
    </row>
    <row r="87" spans="1:22">
      <c r="B87" s="1641" t="str">
        <f>'CUSTOM FEED SET-UP'!B38</f>
        <v>Custom feed 5</v>
      </c>
      <c r="C87" s="1235">
        <f>'CUSTOM FEED SET-UP'!F38</f>
        <v>0</v>
      </c>
      <c r="D87" s="1235">
        <f>'CUSTOM FEED SET-UP'!G38</f>
        <v>0</v>
      </c>
      <c r="E87" s="1235">
        <f>'CUSTOM FEED SET-UP'!H38</f>
        <v>0</v>
      </c>
      <c r="F87" s="1235">
        <f>'CUSTOM FEED SET-UP'!I38</f>
        <v>0</v>
      </c>
      <c r="G87" s="1235">
        <f>'CUSTOM FEED SET-UP'!J38</f>
        <v>0</v>
      </c>
      <c r="H87" s="1235">
        <f>'CUSTOM FEED SET-UP'!K38</f>
        <v>0</v>
      </c>
      <c r="I87" s="1235">
        <f>'CUSTOM FEED SET-UP'!L38</f>
        <v>0</v>
      </c>
      <c r="J87" s="1235">
        <f>'CUSTOM FEED SET-UP'!M38</f>
        <v>0</v>
      </c>
      <c r="K87" s="1235">
        <f>'CUSTOM FEED SET-UP'!N38</f>
        <v>0</v>
      </c>
      <c r="L87" s="1235">
        <f>'CUSTOM FEED SET-UP'!O38</f>
        <v>0</v>
      </c>
      <c r="M87" s="1235">
        <f>'CUSTOM FEED SET-UP'!E38</f>
        <v>0</v>
      </c>
      <c r="N87" s="1235">
        <f>'CUSTOM FEED SET-UP'!P38</f>
        <v>0</v>
      </c>
      <c r="O87" s="1235">
        <f>'CUSTOM FEED SET-UP'!Q38</f>
        <v>0</v>
      </c>
      <c r="P87" s="1235">
        <f>'CUSTOM FEED SET-UP'!R38</f>
        <v>0</v>
      </c>
      <c r="Q87" s="1235">
        <f>'CUSTOM FEED SET-UP'!S38</f>
        <v>0</v>
      </c>
      <c r="R87" s="1235">
        <f>'CUSTOM FEED SET-UP'!T38</f>
        <v>0</v>
      </c>
      <c r="S87" s="1235">
        <f>'CUSTOM FEED SET-UP'!U38</f>
        <v>0</v>
      </c>
      <c r="T87" s="1235">
        <f>'CUSTOM FEED SET-UP'!V38</f>
        <v>0</v>
      </c>
      <c r="U87" s="896"/>
      <c r="V87" s="896"/>
    </row>
    <row r="88" spans="1:22">
      <c r="B88" s="1641" t="str">
        <f>'CUSTOM FEED SET-UP'!B39</f>
        <v>Custom feed 6</v>
      </c>
      <c r="C88" s="1235">
        <f>'CUSTOM FEED SET-UP'!F39</f>
        <v>0</v>
      </c>
      <c r="D88" s="1235">
        <f>'CUSTOM FEED SET-UP'!G39</f>
        <v>0</v>
      </c>
      <c r="E88" s="1235">
        <f>'CUSTOM FEED SET-UP'!H39</f>
        <v>0</v>
      </c>
      <c r="F88" s="1235">
        <f>'CUSTOM FEED SET-UP'!I39</f>
        <v>0</v>
      </c>
      <c r="G88" s="1235">
        <f>'CUSTOM FEED SET-UP'!J39</f>
        <v>0</v>
      </c>
      <c r="H88" s="1235">
        <f>'CUSTOM FEED SET-UP'!K39</f>
        <v>0</v>
      </c>
      <c r="I88" s="1235">
        <f>'CUSTOM FEED SET-UP'!L39</f>
        <v>0</v>
      </c>
      <c r="J88" s="1235">
        <f>'CUSTOM FEED SET-UP'!M39</f>
        <v>0</v>
      </c>
      <c r="K88" s="1235">
        <f>'CUSTOM FEED SET-UP'!N39</f>
        <v>0</v>
      </c>
      <c r="L88" s="1235">
        <f>'CUSTOM FEED SET-UP'!O39</f>
        <v>0</v>
      </c>
      <c r="M88" s="1235">
        <f>'CUSTOM FEED SET-UP'!E39</f>
        <v>0</v>
      </c>
      <c r="N88" s="1235">
        <f>'CUSTOM FEED SET-UP'!P39</f>
        <v>0</v>
      </c>
      <c r="O88" s="1235">
        <f>'CUSTOM FEED SET-UP'!Q39</f>
        <v>0</v>
      </c>
      <c r="P88" s="1235">
        <f>'CUSTOM FEED SET-UP'!R39</f>
        <v>0</v>
      </c>
      <c r="Q88" s="1235">
        <f>'CUSTOM FEED SET-UP'!S39</f>
        <v>0</v>
      </c>
      <c r="R88" s="1235">
        <f>'CUSTOM FEED SET-UP'!T39</f>
        <v>0</v>
      </c>
      <c r="S88" s="1235">
        <f>'CUSTOM FEED SET-UP'!U39</f>
        <v>0</v>
      </c>
      <c r="T88" s="1235">
        <f>'CUSTOM FEED SET-UP'!V39</f>
        <v>0</v>
      </c>
      <c r="U88" s="896"/>
      <c r="V88" s="896"/>
    </row>
    <row r="89" spans="1:22">
      <c r="B89" s="1641" t="str">
        <f>'CUSTOM FEED SET-UP'!B40</f>
        <v>Custom feed 7</v>
      </c>
      <c r="C89" s="1235">
        <f>'CUSTOM FEED SET-UP'!F40</f>
        <v>0</v>
      </c>
      <c r="D89" s="1235">
        <f>'CUSTOM FEED SET-UP'!G40</f>
        <v>0</v>
      </c>
      <c r="E89" s="1235">
        <f>'CUSTOM FEED SET-UP'!H40</f>
        <v>0</v>
      </c>
      <c r="F89" s="1235">
        <f>'CUSTOM FEED SET-UP'!I40</f>
        <v>0</v>
      </c>
      <c r="G89" s="1235">
        <f>'CUSTOM FEED SET-UP'!J40</f>
        <v>0</v>
      </c>
      <c r="H89" s="1235">
        <f>'CUSTOM FEED SET-UP'!K40</f>
        <v>0</v>
      </c>
      <c r="I89" s="1235">
        <f>'CUSTOM FEED SET-UP'!L40</f>
        <v>0</v>
      </c>
      <c r="J89" s="1235">
        <f>'CUSTOM FEED SET-UP'!M40</f>
        <v>0</v>
      </c>
      <c r="K89" s="1235">
        <f>'CUSTOM FEED SET-UP'!N40</f>
        <v>0</v>
      </c>
      <c r="L89" s="1235">
        <f>'CUSTOM FEED SET-UP'!O40</f>
        <v>0</v>
      </c>
      <c r="M89" s="1235">
        <f>'CUSTOM FEED SET-UP'!E40</f>
        <v>0</v>
      </c>
      <c r="N89" s="1235">
        <f>'CUSTOM FEED SET-UP'!P40</f>
        <v>0</v>
      </c>
      <c r="O89" s="1235">
        <f>'CUSTOM FEED SET-UP'!Q40</f>
        <v>0</v>
      </c>
      <c r="P89" s="1235">
        <f>'CUSTOM FEED SET-UP'!R40</f>
        <v>0</v>
      </c>
      <c r="Q89" s="1235">
        <f>'CUSTOM FEED SET-UP'!S40</f>
        <v>0</v>
      </c>
      <c r="R89" s="1235">
        <f>'CUSTOM FEED SET-UP'!T40</f>
        <v>0</v>
      </c>
      <c r="S89" s="1235">
        <f>'CUSTOM FEED SET-UP'!U40</f>
        <v>0</v>
      </c>
      <c r="T89" s="1235">
        <f>'CUSTOM FEED SET-UP'!V40</f>
        <v>0</v>
      </c>
      <c r="U89" s="896"/>
      <c r="V89" s="896"/>
    </row>
    <row r="90" spans="1:22">
      <c r="B90" s="1641" t="str">
        <f>'CUSTOM FEED SET-UP'!B41</f>
        <v>Custom feed 8</v>
      </c>
      <c r="C90" s="1235">
        <f>'CUSTOM FEED SET-UP'!F41</f>
        <v>0</v>
      </c>
      <c r="D90" s="1235">
        <f>'CUSTOM FEED SET-UP'!G41</f>
        <v>0</v>
      </c>
      <c r="E90" s="1235">
        <f>'CUSTOM FEED SET-UP'!H41</f>
        <v>0</v>
      </c>
      <c r="F90" s="1235">
        <f>'CUSTOM FEED SET-UP'!I41</f>
        <v>0</v>
      </c>
      <c r="G90" s="1235">
        <f>'CUSTOM FEED SET-UP'!J41</f>
        <v>0</v>
      </c>
      <c r="H90" s="1235">
        <f>'CUSTOM FEED SET-UP'!K41</f>
        <v>0</v>
      </c>
      <c r="I90" s="1235">
        <f>'CUSTOM FEED SET-UP'!L41</f>
        <v>0</v>
      </c>
      <c r="J90" s="1235">
        <f>'CUSTOM FEED SET-UP'!M41</f>
        <v>0</v>
      </c>
      <c r="K90" s="1235">
        <f>'CUSTOM FEED SET-UP'!N41</f>
        <v>0</v>
      </c>
      <c r="L90" s="1235">
        <f>'CUSTOM FEED SET-UP'!O41</f>
        <v>0</v>
      </c>
      <c r="M90" s="1235">
        <f>'CUSTOM FEED SET-UP'!E41</f>
        <v>0</v>
      </c>
      <c r="N90" s="1235">
        <f>'CUSTOM FEED SET-UP'!P41</f>
        <v>0</v>
      </c>
      <c r="O90" s="1235">
        <f>'CUSTOM FEED SET-UP'!Q41</f>
        <v>0</v>
      </c>
      <c r="P90" s="1235">
        <f>'CUSTOM FEED SET-UP'!R41</f>
        <v>0</v>
      </c>
      <c r="Q90" s="1235">
        <f>'CUSTOM FEED SET-UP'!S41</f>
        <v>0</v>
      </c>
      <c r="R90" s="1235">
        <f>'CUSTOM FEED SET-UP'!T41</f>
        <v>0</v>
      </c>
      <c r="S90" s="1235">
        <f>'CUSTOM FEED SET-UP'!U41</f>
        <v>0</v>
      </c>
      <c r="T90" s="1235">
        <f>'CUSTOM FEED SET-UP'!V41</f>
        <v>0</v>
      </c>
      <c r="U90" s="896"/>
      <c r="V90" s="896"/>
    </row>
    <row r="91" spans="1:22">
      <c r="B91" s="1641" t="str">
        <f>'CUSTOM FEED SET-UP'!B42</f>
        <v>Custom feed 9</v>
      </c>
      <c r="C91" s="1235">
        <f>'CUSTOM FEED SET-UP'!F42</f>
        <v>0</v>
      </c>
      <c r="D91" s="1235">
        <f>'CUSTOM FEED SET-UP'!G42</f>
        <v>0</v>
      </c>
      <c r="E91" s="1235">
        <f>'CUSTOM FEED SET-UP'!H42</f>
        <v>0</v>
      </c>
      <c r="F91" s="1235">
        <f>'CUSTOM FEED SET-UP'!I42</f>
        <v>0</v>
      </c>
      <c r="G91" s="1235">
        <f>'CUSTOM FEED SET-UP'!J42</f>
        <v>0</v>
      </c>
      <c r="H91" s="1235">
        <f>'CUSTOM FEED SET-UP'!K42</f>
        <v>0</v>
      </c>
      <c r="I91" s="1235">
        <f>'CUSTOM FEED SET-UP'!L42</f>
        <v>0</v>
      </c>
      <c r="J91" s="1235">
        <f>'CUSTOM FEED SET-UP'!M42</f>
        <v>0</v>
      </c>
      <c r="K91" s="1235">
        <f>'CUSTOM FEED SET-UP'!N42</f>
        <v>0</v>
      </c>
      <c r="L91" s="1235">
        <f>'CUSTOM FEED SET-UP'!O42</f>
        <v>0</v>
      </c>
      <c r="M91" s="1235">
        <f>'CUSTOM FEED SET-UP'!E42</f>
        <v>0</v>
      </c>
      <c r="N91" s="1235">
        <f>'CUSTOM FEED SET-UP'!P42</f>
        <v>0</v>
      </c>
      <c r="O91" s="1235">
        <f>'CUSTOM FEED SET-UP'!Q42</f>
        <v>0</v>
      </c>
      <c r="P91" s="1235">
        <f>'CUSTOM FEED SET-UP'!R42</f>
        <v>0</v>
      </c>
      <c r="Q91" s="1235">
        <f>'CUSTOM FEED SET-UP'!S42</f>
        <v>0</v>
      </c>
      <c r="R91" s="1235">
        <f>'CUSTOM FEED SET-UP'!T42</f>
        <v>0</v>
      </c>
      <c r="S91" s="1235">
        <f>'CUSTOM FEED SET-UP'!U42</f>
        <v>0</v>
      </c>
      <c r="T91" s="1235">
        <f>'CUSTOM FEED SET-UP'!V42</f>
        <v>0</v>
      </c>
      <c r="U91" s="896"/>
      <c r="V91" s="896"/>
    </row>
    <row r="92" spans="1:22">
      <c r="B92" s="1641" t="str">
        <f>'CUSTOM FEED SET-UP'!B43</f>
        <v>Custom feed 10</v>
      </c>
      <c r="C92" s="1235">
        <f>'CUSTOM FEED SET-UP'!F43</f>
        <v>0</v>
      </c>
      <c r="D92" s="1235">
        <f>'CUSTOM FEED SET-UP'!G43</f>
        <v>0</v>
      </c>
      <c r="E92" s="1235">
        <f>'CUSTOM FEED SET-UP'!H43</f>
        <v>0</v>
      </c>
      <c r="F92" s="1235">
        <f>'CUSTOM FEED SET-UP'!I43</f>
        <v>0</v>
      </c>
      <c r="G92" s="1235">
        <f>'CUSTOM FEED SET-UP'!J43</f>
        <v>0</v>
      </c>
      <c r="H92" s="1235">
        <f>'CUSTOM FEED SET-UP'!K43</f>
        <v>0</v>
      </c>
      <c r="I92" s="1235">
        <f>'CUSTOM FEED SET-UP'!L43</f>
        <v>0</v>
      </c>
      <c r="J92" s="1235">
        <f>'CUSTOM FEED SET-UP'!M43</f>
        <v>0</v>
      </c>
      <c r="K92" s="1235">
        <f>'CUSTOM FEED SET-UP'!N43</f>
        <v>0</v>
      </c>
      <c r="L92" s="1235">
        <f>'CUSTOM FEED SET-UP'!O43</f>
        <v>0</v>
      </c>
      <c r="M92" s="1235">
        <f>'CUSTOM FEED SET-UP'!E43</f>
        <v>0</v>
      </c>
      <c r="N92" s="1235">
        <f>'CUSTOM FEED SET-UP'!P43</f>
        <v>0</v>
      </c>
      <c r="O92" s="1235">
        <f>'CUSTOM FEED SET-UP'!Q43</f>
        <v>0</v>
      </c>
      <c r="P92" s="1235">
        <f>'CUSTOM FEED SET-UP'!R43</f>
        <v>0</v>
      </c>
      <c r="Q92" s="1235">
        <f>'CUSTOM FEED SET-UP'!S43</f>
        <v>0</v>
      </c>
      <c r="R92" s="1235">
        <f>'CUSTOM FEED SET-UP'!T43</f>
        <v>0</v>
      </c>
      <c r="S92" s="1235">
        <f>'CUSTOM FEED SET-UP'!U43</f>
        <v>0</v>
      </c>
      <c r="T92" s="1235">
        <f>'CUSTOM FEED SET-UP'!V43</f>
        <v>0</v>
      </c>
      <c r="U92" s="896"/>
      <c r="V92" s="896"/>
    </row>
    <row r="93" spans="1:22">
      <c r="B93" s="895"/>
      <c r="C93" s="1642"/>
      <c r="D93" s="1642"/>
      <c r="E93" s="1642"/>
      <c r="F93" s="1642"/>
      <c r="G93" s="1642"/>
      <c r="H93" s="1642"/>
      <c r="I93" s="1642"/>
      <c r="J93" s="1642"/>
      <c r="K93" s="1642"/>
      <c r="L93" s="1642"/>
      <c r="M93" s="1642"/>
      <c r="N93" s="1642"/>
      <c r="O93" s="1642"/>
      <c r="P93" s="1642"/>
      <c r="Q93" s="1642"/>
      <c r="R93" s="1642"/>
      <c r="S93" s="1642"/>
      <c r="T93" s="1642"/>
      <c r="U93" s="896"/>
      <c r="V93" s="896"/>
    </row>
    <row r="94" spans="1:22">
      <c r="B94" s="895"/>
      <c r="C94" s="1642"/>
      <c r="D94" s="1642"/>
      <c r="E94" s="1642"/>
      <c r="F94" s="1642"/>
      <c r="G94" s="1642"/>
      <c r="H94" s="1642"/>
      <c r="I94" s="1642"/>
      <c r="J94" s="1642"/>
      <c r="K94" s="1642"/>
      <c r="L94" s="1642"/>
      <c r="M94" s="1642"/>
      <c r="N94" s="1642"/>
      <c r="O94" s="1642"/>
      <c r="P94" s="1642"/>
      <c r="Q94" s="1642"/>
      <c r="R94" s="1642"/>
      <c r="S94" s="1642"/>
      <c r="T94" s="1642"/>
      <c r="U94" s="896"/>
      <c r="V94" s="896"/>
    </row>
    <row r="95" spans="1:22">
      <c r="A95" s="653" t="s">
        <v>287</v>
      </c>
      <c r="B95" s="42"/>
    </row>
    <row r="96" spans="1:22" ht="15.6">
      <c r="B96" t="s">
        <v>520</v>
      </c>
      <c r="C96" s="105"/>
      <c r="D96" s="105"/>
      <c r="E96" s="105"/>
      <c r="F96" s="105"/>
      <c r="G96" s="105"/>
      <c r="H96" s="105"/>
      <c r="I96" s="105"/>
      <c r="J96" s="105"/>
      <c r="K96" s="105"/>
      <c r="L96" s="105"/>
      <c r="M96" s="105" t="s">
        <v>125</v>
      </c>
      <c r="N96" s="105"/>
      <c r="O96" s="105"/>
      <c r="P96" s="105"/>
      <c r="Q96" s="105">
        <v>13</v>
      </c>
      <c r="R96" s="105">
        <v>10</v>
      </c>
      <c r="S96" s="105"/>
      <c r="T96" s="105"/>
    </row>
    <row r="97" spans="2:20" ht="15.6">
      <c r="B97" t="s">
        <v>525</v>
      </c>
      <c r="C97" s="1242"/>
      <c r="D97" s="1242"/>
      <c r="E97" s="1242"/>
      <c r="F97" s="1242"/>
      <c r="G97" s="1242"/>
      <c r="H97" s="1242"/>
      <c r="I97" s="1242"/>
      <c r="J97" s="1242"/>
      <c r="K97" s="1242"/>
      <c r="L97" s="1242"/>
      <c r="M97" s="1242" t="s">
        <v>125</v>
      </c>
      <c r="N97" s="1242"/>
      <c r="O97" s="1242"/>
      <c r="P97" s="1242">
        <v>35</v>
      </c>
      <c r="Q97" s="1242"/>
      <c r="R97" s="1242">
        <v>12</v>
      </c>
      <c r="S97" s="1242"/>
      <c r="T97" s="1242"/>
    </row>
    <row r="98" spans="2:20">
      <c r="B98" t="s">
        <v>526</v>
      </c>
      <c r="C98" s="105"/>
      <c r="D98" s="105"/>
      <c r="E98" s="105"/>
      <c r="F98" s="105"/>
      <c r="G98" s="105"/>
      <c r="H98" s="105"/>
      <c r="I98" s="105"/>
      <c r="J98" s="105"/>
      <c r="K98" s="105"/>
      <c r="L98" s="105"/>
      <c r="M98" s="105" t="s">
        <v>125</v>
      </c>
      <c r="N98" s="105"/>
      <c r="O98" s="105"/>
      <c r="P98" s="105"/>
      <c r="Q98" s="105"/>
      <c r="R98" s="105">
        <v>55</v>
      </c>
      <c r="S98" s="105"/>
      <c r="T98" s="105"/>
    </row>
    <row r="99" spans="2:20">
      <c r="B99" t="s">
        <v>527</v>
      </c>
      <c r="C99" s="1242"/>
      <c r="D99" s="1242"/>
      <c r="E99" s="1242"/>
      <c r="F99" s="1242"/>
      <c r="G99" s="1242"/>
      <c r="H99" s="1242"/>
      <c r="I99" s="1242"/>
      <c r="J99" s="1242"/>
      <c r="K99" s="1242"/>
      <c r="L99" s="1242"/>
      <c r="M99" s="1242" t="s">
        <v>125</v>
      </c>
      <c r="N99" s="1242"/>
      <c r="O99" s="1242"/>
      <c r="P99" s="1242"/>
      <c r="Q99" s="1242">
        <v>23</v>
      </c>
      <c r="R99" s="1242"/>
      <c r="S99" s="1242">
        <v>30</v>
      </c>
      <c r="T99" s="1242"/>
    </row>
    <row r="100" spans="2:20">
      <c r="B100" t="s">
        <v>652</v>
      </c>
      <c r="C100" s="105"/>
      <c r="D100" s="105"/>
      <c r="E100" s="105"/>
      <c r="F100" s="105"/>
      <c r="G100" s="105"/>
      <c r="H100" s="105"/>
      <c r="I100" s="105"/>
      <c r="J100" s="105"/>
      <c r="K100" s="105"/>
      <c r="L100" s="105"/>
      <c r="M100" s="105" t="s">
        <v>125</v>
      </c>
      <c r="N100" s="105"/>
      <c r="O100" s="105"/>
      <c r="P100" s="105"/>
      <c r="Q100" s="105"/>
      <c r="R100" s="105"/>
      <c r="S100" s="105">
        <v>41</v>
      </c>
      <c r="T100" s="105"/>
    </row>
    <row r="101" spans="2:20">
      <c r="B101" t="s">
        <v>528</v>
      </c>
      <c r="C101" s="1242"/>
      <c r="D101" s="1242"/>
      <c r="E101" s="1242"/>
      <c r="F101" s="1242"/>
      <c r="G101" s="1242"/>
      <c r="H101" s="1242"/>
      <c r="I101" s="1242"/>
      <c r="J101" s="1242"/>
      <c r="K101" s="1242"/>
      <c r="L101" s="1242"/>
      <c r="M101" s="1242" t="s">
        <v>125</v>
      </c>
      <c r="N101" s="1242"/>
      <c r="O101" s="1242"/>
      <c r="P101" s="1242"/>
      <c r="Q101" s="1242"/>
      <c r="R101" s="1242"/>
      <c r="S101" s="1242">
        <v>24</v>
      </c>
      <c r="T101" s="1242">
        <v>18</v>
      </c>
    </row>
    <row r="102" spans="2:20">
      <c r="B102" s="916" t="s">
        <v>524</v>
      </c>
      <c r="C102" s="105"/>
      <c r="D102" s="105"/>
      <c r="E102" s="105"/>
      <c r="F102" s="105"/>
      <c r="G102" s="105"/>
      <c r="H102" s="105"/>
      <c r="I102" s="105"/>
      <c r="J102" s="105"/>
      <c r="K102" s="105"/>
      <c r="L102" s="105"/>
      <c r="M102" s="105" t="s">
        <v>125</v>
      </c>
      <c r="N102" s="105">
        <v>31</v>
      </c>
      <c r="O102" s="105"/>
      <c r="P102" s="105"/>
      <c r="Q102" s="105"/>
      <c r="R102" s="105"/>
      <c r="S102" s="105"/>
      <c r="T102" s="105">
        <v>26</v>
      </c>
    </row>
    <row r="103" spans="2:20">
      <c r="B103" s="916" t="s">
        <v>529</v>
      </c>
      <c r="C103" s="1242"/>
      <c r="D103" s="1242"/>
      <c r="E103" s="1242"/>
      <c r="F103" s="1242"/>
      <c r="G103" s="1242"/>
      <c r="H103" s="1242"/>
      <c r="I103" s="1242"/>
      <c r="J103" s="1242"/>
      <c r="K103" s="1242"/>
      <c r="L103" s="1242"/>
      <c r="M103" s="1242" t="s">
        <v>125</v>
      </c>
      <c r="N103" s="1242">
        <v>39</v>
      </c>
      <c r="O103" s="1242"/>
      <c r="P103" s="1242">
        <v>61</v>
      </c>
      <c r="Q103" s="1242"/>
      <c r="R103" s="1242"/>
      <c r="S103" s="1242"/>
      <c r="T103" s="1242"/>
    </row>
    <row r="104" spans="2:20">
      <c r="B104" s="916" t="s">
        <v>530</v>
      </c>
      <c r="C104" s="105"/>
      <c r="D104" s="105"/>
      <c r="E104" s="105"/>
      <c r="F104" s="105"/>
      <c r="G104" s="105"/>
      <c r="H104" s="105"/>
      <c r="I104" s="105"/>
      <c r="J104" s="105"/>
      <c r="K104" s="105"/>
      <c r="L104" s="105"/>
      <c r="M104" s="105" t="s">
        <v>125</v>
      </c>
      <c r="N104" s="105"/>
      <c r="O104" s="105"/>
      <c r="P104" s="105"/>
      <c r="Q104" s="105"/>
      <c r="R104" s="105">
        <v>1</v>
      </c>
      <c r="S104" s="105">
        <v>16.5</v>
      </c>
      <c r="T104" s="105">
        <v>22.7</v>
      </c>
    </row>
    <row r="105" spans="2:20">
      <c r="B105" s="916" t="s">
        <v>624</v>
      </c>
      <c r="C105" s="1242"/>
      <c r="D105" s="1242"/>
      <c r="E105" s="1242"/>
      <c r="F105" s="1242"/>
      <c r="G105" s="1242"/>
      <c r="H105" s="1242"/>
      <c r="I105" s="1242"/>
      <c r="J105" s="1242"/>
      <c r="K105" s="1242"/>
      <c r="L105" s="1242"/>
      <c r="M105" s="1242" t="s">
        <v>125</v>
      </c>
      <c r="N105" s="1242"/>
      <c r="O105" s="1242"/>
      <c r="P105" s="1242"/>
      <c r="Q105" s="1242"/>
      <c r="R105" s="1242">
        <v>25.5</v>
      </c>
      <c r="S105" s="1242">
        <v>1</v>
      </c>
      <c r="T105" s="1242">
        <v>14.5</v>
      </c>
    </row>
    <row r="106" spans="2:20">
      <c r="B106" s="916"/>
      <c r="P106"/>
    </row>
    <row r="107" spans="2:20">
      <c r="B107" s="916"/>
      <c r="C107" s="1235"/>
      <c r="D107" s="1235"/>
      <c r="E107" s="1235"/>
      <c r="F107" s="1235"/>
      <c r="G107" s="1235"/>
      <c r="H107" s="1235"/>
      <c r="I107" s="1235"/>
      <c r="J107" s="1235"/>
      <c r="K107" s="1235"/>
      <c r="L107" s="1235"/>
      <c r="M107" s="1235"/>
      <c r="N107" s="1235"/>
      <c r="O107" s="1235"/>
      <c r="P107" s="1235"/>
      <c r="Q107" s="1235"/>
      <c r="R107" s="1235"/>
      <c r="S107" s="1235"/>
      <c r="T107" s="1235"/>
    </row>
    <row r="108" spans="2:20">
      <c r="B108" s="916"/>
      <c r="C108" s="1235"/>
      <c r="D108" s="1235"/>
      <c r="E108" s="1235"/>
      <c r="F108" s="1235"/>
      <c r="G108" s="1235"/>
      <c r="H108" s="1235"/>
      <c r="I108" s="1235"/>
      <c r="J108" s="1235"/>
      <c r="K108" s="1235"/>
      <c r="L108" s="1235"/>
      <c r="M108" s="1235"/>
      <c r="N108" s="1235"/>
      <c r="O108" s="1235"/>
      <c r="P108" s="1235"/>
      <c r="Q108" s="1235"/>
      <c r="R108" s="1235"/>
      <c r="S108" s="1235"/>
      <c r="T108" s="1235"/>
    </row>
    <row r="109" spans="2:20">
      <c r="B109" s="916"/>
      <c r="C109" s="1235"/>
      <c r="D109" s="1235"/>
      <c r="E109" s="1235"/>
      <c r="F109" s="1235"/>
      <c r="G109" s="1235"/>
      <c r="H109" s="1235"/>
      <c r="I109" s="1235"/>
      <c r="J109" s="1235"/>
      <c r="K109" s="1235"/>
      <c r="L109" s="1235"/>
      <c r="M109" s="1235"/>
      <c r="N109" s="1235"/>
      <c r="O109" s="1235"/>
      <c r="P109" s="1235"/>
      <c r="Q109" s="1235"/>
      <c r="R109" s="1235"/>
      <c r="S109" s="1235"/>
      <c r="T109" s="1235"/>
    </row>
    <row r="110" spans="2:20">
      <c r="B110" s="916"/>
      <c r="C110" s="1235"/>
      <c r="D110" s="1235"/>
      <c r="E110" s="1235"/>
      <c r="F110" s="1235"/>
      <c r="G110" s="1235"/>
      <c r="H110" s="1235"/>
      <c r="I110" s="1235"/>
      <c r="J110" s="1235"/>
      <c r="K110" s="1235"/>
      <c r="L110" s="1235"/>
      <c r="M110" s="1235"/>
      <c r="N110" s="1235"/>
      <c r="O110" s="1235"/>
      <c r="P110" s="1235"/>
      <c r="Q110" s="1235"/>
      <c r="R110" s="1235"/>
      <c r="S110" s="1235"/>
      <c r="T110" s="1235"/>
    </row>
    <row r="111" spans="2:20">
      <c r="B111" s="916"/>
      <c r="C111" s="1235"/>
      <c r="D111" s="1235"/>
      <c r="E111" s="1235"/>
      <c r="F111" s="1235"/>
      <c r="G111" s="1235"/>
      <c r="H111" s="1235"/>
      <c r="I111" s="1235"/>
      <c r="J111" s="1235"/>
      <c r="K111" s="1235"/>
      <c r="L111" s="1235"/>
      <c r="M111" s="1235"/>
      <c r="N111" s="1235"/>
      <c r="O111" s="1235"/>
      <c r="P111" s="1235"/>
      <c r="Q111" s="1235"/>
      <c r="R111" s="1235"/>
      <c r="S111" s="1235"/>
      <c r="T111" s="1235"/>
    </row>
    <row r="112" spans="2:20">
      <c r="B112" s="916"/>
      <c r="C112" s="1235"/>
      <c r="D112" s="1235"/>
      <c r="E112" s="1235"/>
      <c r="F112" s="1235"/>
      <c r="G112" s="1235"/>
      <c r="H112" s="1235"/>
      <c r="I112" s="1235"/>
      <c r="J112" s="1235"/>
      <c r="K112" s="1235"/>
      <c r="L112" s="1235"/>
      <c r="M112" s="1235"/>
      <c r="N112" s="1235"/>
      <c r="O112" s="1235"/>
      <c r="P112" s="1235"/>
      <c r="Q112" s="1235"/>
      <c r="R112" s="1235"/>
      <c r="S112" s="1235"/>
      <c r="T112" s="1235"/>
    </row>
    <row r="113" spans="1:20">
      <c r="B113" s="916"/>
      <c r="C113" s="1235"/>
      <c r="D113" s="1235"/>
      <c r="E113" s="1235"/>
      <c r="F113" s="1235"/>
      <c r="G113" s="1235"/>
      <c r="H113" s="1235"/>
      <c r="I113" s="1235"/>
      <c r="J113" s="1235"/>
      <c r="K113" s="1235"/>
      <c r="L113" s="1235"/>
      <c r="M113" s="1235"/>
      <c r="N113" s="1235"/>
      <c r="O113" s="1235"/>
      <c r="P113" s="1235"/>
      <c r="Q113" s="1235"/>
      <c r="R113" s="1235"/>
      <c r="S113" s="1235"/>
      <c r="T113" s="1235"/>
    </row>
    <row r="114" spans="1:20">
      <c r="B114" s="916"/>
      <c r="C114" s="1235"/>
      <c r="D114" s="1235"/>
      <c r="E114" s="1235"/>
      <c r="F114" s="1235"/>
      <c r="G114" s="1235"/>
      <c r="H114" s="1235"/>
      <c r="I114" s="1235"/>
      <c r="J114" s="1235"/>
      <c r="K114" s="1235"/>
      <c r="L114" s="1235"/>
      <c r="M114" s="1235"/>
      <c r="N114" s="1235"/>
      <c r="O114" s="1235"/>
      <c r="P114" s="1235"/>
      <c r="Q114" s="1235"/>
      <c r="R114" s="1235"/>
      <c r="S114" s="1235"/>
      <c r="T114" s="1235"/>
    </row>
    <row r="115" spans="1:20">
      <c r="B115" s="916"/>
      <c r="C115" s="1235"/>
      <c r="D115" s="1235"/>
      <c r="E115" s="1235"/>
      <c r="F115" s="1235"/>
      <c r="G115" s="1235"/>
      <c r="H115" s="1235"/>
      <c r="I115" s="1235"/>
      <c r="J115" s="1235"/>
      <c r="K115" s="1235"/>
      <c r="L115" s="1235"/>
      <c r="M115" s="1235"/>
      <c r="N115" s="1235"/>
      <c r="O115" s="1235"/>
      <c r="P115" s="1235"/>
      <c r="Q115" s="1235"/>
      <c r="R115" s="1235"/>
      <c r="S115" s="1235"/>
      <c r="T115" s="1235"/>
    </row>
    <row r="116" spans="1:20">
      <c r="B116" s="916"/>
      <c r="C116" s="1235"/>
      <c r="D116" s="1235"/>
      <c r="E116" s="1235"/>
      <c r="F116" s="1235"/>
      <c r="G116" s="1235"/>
      <c r="H116" s="1235"/>
      <c r="I116" s="1235"/>
      <c r="J116" s="1235"/>
      <c r="K116" s="1235"/>
      <c r="L116" s="1235"/>
      <c r="M116" s="1235"/>
      <c r="N116" s="1235"/>
      <c r="O116" s="1235"/>
      <c r="P116" s="1235"/>
      <c r="Q116" s="1235"/>
      <c r="R116" s="1235"/>
      <c r="S116" s="1235"/>
      <c r="T116" s="1235"/>
    </row>
    <row r="117" spans="1:20">
      <c r="B117" s="916"/>
      <c r="C117" s="1235"/>
      <c r="D117" s="1235"/>
      <c r="E117" s="1235"/>
      <c r="F117" s="1235"/>
      <c r="G117" s="1235"/>
      <c r="H117" s="1235"/>
      <c r="I117" s="1235"/>
      <c r="J117" s="1235"/>
      <c r="K117" s="1235"/>
      <c r="L117" s="1235"/>
      <c r="M117" s="1235"/>
      <c r="N117" s="1235"/>
      <c r="O117" s="1235"/>
      <c r="P117" s="1235"/>
      <c r="Q117" s="1235"/>
      <c r="R117" s="1235"/>
      <c r="S117" s="1235"/>
      <c r="T117" s="1235"/>
    </row>
    <row r="118" spans="1:20">
      <c r="B118" s="916"/>
      <c r="C118" s="1235"/>
      <c r="D118" s="1235"/>
      <c r="E118" s="1235"/>
      <c r="F118" s="1235"/>
      <c r="G118" s="1235"/>
      <c r="H118" s="1235"/>
      <c r="I118" s="1235"/>
      <c r="J118" s="1235"/>
      <c r="K118" s="1235"/>
      <c r="L118" s="1235"/>
      <c r="M118" s="1235"/>
      <c r="N118" s="1235"/>
      <c r="O118" s="1235"/>
      <c r="P118" s="1235"/>
      <c r="Q118" s="1235"/>
      <c r="R118" s="1235"/>
      <c r="S118" s="1235"/>
      <c r="T118" s="1235"/>
    </row>
    <row r="119" spans="1:20">
      <c r="B119" s="916"/>
    </row>
    <row r="120" spans="1:20">
      <c r="A120" s="15" t="s">
        <v>448</v>
      </c>
      <c r="B120" s="1201" t="s">
        <v>108</v>
      </c>
      <c r="D120" s="1246"/>
      <c r="E120" s="1247"/>
      <c r="F120" s="1247"/>
      <c r="G120" s="1247"/>
      <c r="H120" s="1247"/>
      <c r="I120" s="1247"/>
    </row>
    <row r="121" spans="1:20">
      <c r="A121" s="15"/>
      <c r="B121" t="s">
        <v>431</v>
      </c>
      <c r="C121" s="1248">
        <v>0.95</v>
      </c>
    </row>
    <row r="122" spans="1:20">
      <c r="B122" t="s">
        <v>89</v>
      </c>
      <c r="C122" s="1249">
        <v>0.9</v>
      </c>
    </row>
    <row r="123" spans="1:20">
      <c r="B123" t="s">
        <v>483</v>
      </c>
      <c r="C123" s="1248">
        <v>0.8</v>
      </c>
    </row>
    <row r="124" spans="1:20">
      <c r="B124" t="s">
        <v>484</v>
      </c>
      <c r="C124" s="1249">
        <v>0.7</v>
      </c>
    </row>
    <row r="125" spans="1:20">
      <c r="B125" s="916" t="s">
        <v>456</v>
      </c>
    </row>
    <row r="126" spans="1:20">
      <c r="B126" s="916" t="s">
        <v>456</v>
      </c>
    </row>
    <row r="127" spans="1:20">
      <c r="A127" s="15"/>
      <c r="B127" s="1202" t="s">
        <v>449</v>
      </c>
      <c r="C127" s="1249"/>
    </row>
    <row r="128" spans="1:20">
      <c r="B128" t="s">
        <v>42</v>
      </c>
      <c r="C128" s="1249">
        <v>0.9</v>
      </c>
    </row>
    <row r="129" spans="1:13">
      <c r="B129" t="s">
        <v>485</v>
      </c>
      <c r="C129" s="1249">
        <v>0.8</v>
      </c>
    </row>
    <row r="130" spans="1:13">
      <c r="B130" t="s">
        <v>486</v>
      </c>
      <c r="C130" s="1249">
        <v>0.6</v>
      </c>
    </row>
    <row r="131" spans="1:13">
      <c r="B131" s="1279" t="s">
        <v>590</v>
      </c>
      <c r="C131" s="1280">
        <v>0.8</v>
      </c>
      <c r="D131" s="17" t="s">
        <v>515</v>
      </c>
    </row>
    <row r="132" spans="1:13">
      <c r="B132" s="916" t="s">
        <v>456</v>
      </c>
    </row>
    <row r="133" spans="1:13">
      <c r="B133" s="1202" t="s">
        <v>450</v>
      </c>
    </row>
    <row r="134" spans="1:13">
      <c r="B134" t="s">
        <v>41</v>
      </c>
      <c r="C134" s="1249">
        <v>0.95</v>
      </c>
      <c r="M134" s="1249"/>
    </row>
    <row r="135" spans="1:13">
      <c r="B135" t="s">
        <v>42</v>
      </c>
      <c r="C135" s="1249">
        <v>0.9</v>
      </c>
      <c r="M135" s="1248"/>
    </row>
    <row r="136" spans="1:13">
      <c r="B136" t="s">
        <v>43</v>
      </c>
      <c r="C136" s="1249">
        <v>0.85</v>
      </c>
      <c r="M136" s="1249"/>
    </row>
    <row r="137" spans="1:13">
      <c r="B137" s="916" t="s">
        <v>456</v>
      </c>
    </row>
    <row r="138" spans="1:13">
      <c r="A138" s="15"/>
      <c r="B138" s="916" t="s">
        <v>456</v>
      </c>
      <c r="M138" s="1249"/>
    </row>
    <row r="139" spans="1:13">
      <c r="B139" s="1202" t="s">
        <v>451</v>
      </c>
    </row>
    <row r="140" spans="1:13">
      <c r="B140" t="s">
        <v>431</v>
      </c>
      <c r="C140" s="1248">
        <v>0.95</v>
      </c>
    </row>
    <row r="141" spans="1:13">
      <c r="B141" t="s">
        <v>89</v>
      </c>
      <c r="C141" s="1249">
        <v>0.9</v>
      </c>
    </row>
    <row r="142" spans="1:13">
      <c r="B142" t="s">
        <v>483</v>
      </c>
      <c r="C142" s="1248">
        <v>0.8</v>
      </c>
    </row>
    <row r="143" spans="1:13">
      <c r="B143" t="s">
        <v>484</v>
      </c>
      <c r="C143" s="1249">
        <v>0.7</v>
      </c>
    </row>
    <row r="144" spans="1:13">
      <c r="B144" s="916" t="s">
        <v>456</v>
      </c>
    </row>
    <row r="145" spans="2:3">
      <c r="B145" s="916" t="s">
        <v>456</v>
      </c>
      <c r="C145" s="1249"/>
    </row>
    <row r="146" spans="2:3">
      <c r="B146" s="1202" t="s">
        <v>452</v>
      </c>
      <c r="C146" s="1249"/>
    </row>
    <row r="147" spans="2:3">
      <c r="B147" t="s">
        <v>41</v>
      </c>
      <c r="C147" s="1249">
        <v>0.95</v>
      </c>
    </row>
    <row r="148" spans="2:3">
      <c r="B148" t="s">
        <v>42</v>
      </c>
      <c r="C148" s="1249">
        <v>0.9</v>
      </c>
    </row>
    <row r="149" spans="2:3">
      <c r="B149" t="s">
        <v>43</v>
      </c>
      <c r="C149" s="1249">
        <v>0.85</v>
      </c>
    </row>
    <row r="150" spans="2:3">
      <c r="B150" t="s">
        <v>485</v>
      </c>
      <c r="C150" s="1249">
        <v>0.8</v>
      </c>
    </row>
    <row r="151" spans="2:3">
      <c r="B151" t="s">
        <v>44</v>
      </c>
      <c r="C151" s="1249">
        <v>0.6</v>
      </c>
    </row>
    <row r="152" spans="2:3">
      <c r="B152" s="916" t="s">
        <v>599</v>
      </c>
      <c r="C152" s="1249"/>
    </row>
    <row r="153" spans="2:3">
      <c r="B153" s="916" t="s">
        <v>599</v>
      </c>
      <c r="C153" s="1249"/>
    </row>
    <row r="154" spans="2:3">
      <c r="B154" s="1202" t="s">
        <v>350</v>
      </c>
      <c r="C154" s="1249"/>
    </row>
    <row r="155" spans="2:3">
      <c r="B155" t="s">
        <v>41</v>
      </c>
      <c r="C155" s="1249">
        <v>0.95</v>
      </c>
    </row>
    <row r="156" spans="2:3">
      <c r="B156" t="s">
        <v>42</v>
      </c>
      <c r="C156" s="1249">
        <v>0.9</v>
      </c>
    </row>
    <row r="157" spans="2:3">
      <c r="B157" t="s">
        <v>43</v>
      </c>
      <c r="C157" s="1249">
        <v>0.85</v>
      </c>
    </row>
    <row r="158" spans="2:3">
      <c r="B158" t="s">
        <v>446</v>
      </c>
      <c r="C158" s="1249">
        <v>0.5</v>
      </c>
    </row>
    <row r="159" spans="2:3">
      <c r="B159" t="s">
        <v>447</v>
      </c>
      <c r="C159" s="1249">
        <v>0.33</v>
      </c>
    </row>
    <row r="160" spans="2:3">
      <c r="B160" t="s">
        <v>361</v>
      </c>
      <c r="C160" s="1249">
        <v>1</v>
      </c>
    </row>
    <row r="161" spans="2:3">
      <c r="B161" s="916" t="s">
        <v>488</v>
      </c>
      <c r="C161" s="1249">
        <v>0.8</v>
      </c>
    </row>
    <row r="162" spans="2:3">
      <c r="B162" s="916" t="s">
        <v>521</v>
      </c>
      <c r="C162" s="1249">
        <v>1</v>
      </c>
    </row>
    <row r="163" spans="2:3">
      <c r="B163" s="916" t="s">
        <v>599</v>
      </c>
      <c r="C163" s="1507"/>
    </row>
    <row r="164" spans="2:3">
      <c r="B164" s="916" t="s">
        <v>599</v>
      </c>
      <c r="C164" s="1507"/>
    </row>
    <row r="165" spans="2:3">
      <c r="B165" s="1202" t="s">
        <v>454</v>
      </c>
      <c r="C165" s="1249"/>
    </row>
    <row r="166" spans="2:3">
      <c r="B166" t="s">
        <v>41</v>
      </c>
      <c r="C166" s="1249">
        <v>0.95</v>
      </c>
    </row>
    <row r="167" spans="2:3">
      <c r="B167" t="s">
        <v>42</v>
      </c>
      <c r="C167" s="1249">
        <v>0.9</v>
      </c>
    </row>
    <row r="168" spans="2:3">
      <c r="B168" t="s">
        <v>43</v>
      </c>
      <c r="C168" s="1249">
        <v>0.85</v>
      </c>
    </row>
    <row r="169" spans="2:3">
      <c r="B169" t="s">
        <v>485</v>
      </c>
      <c r="C169" s="1249">
        <v>0.8</v>
      </c>
    </row>
    <row r="170" spans="2:3">
      <c r="B170" t="s">
        <v>44</v>
      </c>
      <c r="C170" s="1249">
        <v>0.6</v>
      </c>
    </row>
    <row r="171" spans="2:3">
      <c r="B171" t="s">
        <v>431</v>
      </c>
      <c r="C171" s="1248">
        <v>0.95</v>
      </c>
    </row>
    <row r="172" spans="2:3">
      <c r="B172" t="s">
        <v>89</v>
      </c>
      <c r="C172" s="1249">
        <v>0.9</v>
      </c>
    </row>
    <row r="173" spans="2:3">
      <c r="B173" t="s">
        <v>483</v>
      </c>
      <c r="C173" s="1248">
        <v>0.8</v>
      </c>
    </row>
    <row r="174" spans="2:3">
      <c r="B174" t="s">
        <v>484</v>
      </c>
      <c r="C174" s="1249">
        <v>0.7</v>
      </c>
    </row>
    <row r="175" spans="2:3">
      <c r="B175" s="916" t="s">
        <v>456</v>
      </c>
      <c r="C175" s="1249"/>
    </row>
    <row r="176" spans="2:3">
      <c r="B176" s="916" t="s">
        <v>456</v>
      </c>
      <c r="C176" s="1249"/>
    </row>
    <row r="177" spans="1:8">
      <c r="B177" s="1202" t="s">
        <v>494</v>
      </c>
      <c r="C177" s="1249"/>
    </row>
    <row r="178" spans="1:8">
      <c r="B178" s="1274" t="s">
        <v>501</v>
      </c>
      <c r="C178" s="1249">
        <v>0.95</v>
      </c>
    </row>
    <row r="179" spans="1:8">
      <c r="B179" s="1274" t="s">
        <v>502</v>
      </c>
      <c r="C179" s="1249">
        <v>0.9</v>
      </c>
    </row>
    <row r="180" spans="1:8">
      <c r="B180" s="1274" t="s">
        <v>503</v>
      </c>
      <c r="C180" s="1249">
        <v>0.85</v>
      </c>
    </row>
    <row r="181" spans="1:8">
      <c r="B181" s="1274" t="s">
        <v>504</v>
      </c>
      <c r="C181" s="1249">
        <v>0.8</v>
      </c>
    </row>
    <row r="182" spans="1:8">
      <c r="B182" s="1274" t="s">
        <v>505</v>
      </c>
      <c r="C182" s="1249">
        <v>0.75</v>
      </c>
    </row>
    <row r="183" spans="1:8">
      <c r="B183" s="1274" t="s">
        <v>506</v>
      </c>
      <c r="C183" s="1249">
        <v>0.7</v>
      </c>
    </row>
    <row r="184" spans="1:8">
      <c r="B184" s="1274" t="s">
        <v>507</v>
      </c>
      <c r="C184" s="1249">
        <v>0.65</v>
      </c>
    </row>
    <row r="185" spans="1:8">
      <c r="B185" s="1274" t="s">
        <v>508</v>
      </c>
      <c r="C185" s="1249">
        <v>0.6</v>
      </c>
    </row>
    <row r="186" spans="1:8">
      <c r="B186" s="1274" t="s">
        <v>509</v>
      </c>
      <c r="C186" s="1249">
        <v>0.55000000000000004</v>
      </c>
    </row>
    <row r="187" spans="1:8">
      <c r="B187" s="916" t="s">
        <v>456</v>
      </c>
      <c r="C187" s="1249"/>
    </row>
    <row r="188" spans="1:8">
      <c r="B188" s="916" t="s">
        <v>456</v>
      </c>
    </row>
    <row r="189" spans="1:8">
      <c r="A189" s="15" t="s">
        <v>34</v>
      </c>
      <c r="B189" s="42"/>
      <c r="C189" s="17" t="s">
        <v>276</v>
      </c>
      <c r="E189" s="17">
        <v>12</v>
      </c>
      <c r="F189" s="17">
        <v>8</v>
      </c>
      <c r="G189" s="17">
        <v>4</v>
      </c>
      <c r="H189" s="17">
        <v>2</v>
      </c>
    </row>
    <row r="190" spans="1:8">
      <c r="B190">
        <v>375</v>
      </c>
      <c r="C190" s="1250">
        <v>48</v>
      </c>
      <c r="D190" s="1243">
        <v>0</v>
      </c>
      <c r="E190" s="917">
        <v>11.75</v>
      </c>
      <c r="F190" s="917">
        <v>20</v>
      </c>
      <c r="G190" s="917">
        <v>33.200000000000003</v>
      </c>
      <c r="H190" s="917">
        <v>43.099999999999994</v>
      </c>
    </row>
    <row r="191" spans="1:8">
      <c r="B191">
        <v>400</v>
      </c>
      <c r="C191" s="1243">
        <v>50</v>
      </c>
      <c r="D191" s="1243">
        <v>0</v>
      </c>
      <c r="E191" s="917">
        <v>10.5</v>
      </c>
      <c r="F191" s="917">
        <v>19.299999999999997</v>
      </c>
      <c r="G191" s="917">
        <v>33.599999999999994</v>
      </c>
      <c r="H191" s="917">
        <v>43.5</v>
      </c>
    </row>
    <row r="192" spans="1:8">
      <c r="B192">
        <v>425</v>
      </c>
      <c r="C192" s="1250">
        <f>((C193-C191)/2)+C191</f>
        <v>52</v>
      </c>
      <c r="D192" s="1243">
        <v>0</v>
      </c>
      <c r="E192" s="917">
        <v>11.25</v>
      </c>
      <c r="F192" s="917">
        <v>19.5</v>
      </c>
      <c r="G192" s="917">
        <v>34.900000000000006</v>
      </c>
      <c r="H192" s="917">
        <v>45.900000000000006</v>
      </c>
    </row>
    <row r="193" spans="1:24">
      <c r="B193">
        <v>450</v>
      </c>
      <c r="C193" s="1243">
        <v>54</v>
      </c>
      <c r="D193" s="1243">
        <v>0</v>
      </c>
      <c r="E193" s="917">
        <v>12</v>
      </c>
      <c r="F193" s="917">
        <v>20.799999999999997</v>
      </c>
      <c r="G193" s="917">
        <v>37.300000000000011</v>
      </c>
      <c r="H193" s="917">
        <v>48.300000000000011</v>
      </c>
    </row>
    <row r="194" spans="1:24">
      <c r="B194">
        <v>475</v>
      </c>
      <c r="C194" s="1250">
        <f>((C195-C193)/2)+C193</f>
        <v>56.5</v>
      </c>
      <c r="D194" s="1243">
        <v>0</v>
      </c>
      <c r="E194" s="917">
        <v>11.75</v>
      </c>
      <c r="F194" s="917">
        <v>21.099999999999994</v>
      </c>
      <c r="G194" s="917">
        <v>38.699999999999989</v>
      </c>
      <c r="H194" s="917">
        <v>49.699999999999989</v>
      </c>
    </row>
    <row r="195" spans="1:24">
      <c r="B195">
        <v>500</v>
      </c>
      <c r="C195" s="1243">
        <v>59</v>
      </c>
      <c r="D195" s="1243">
        <v>0</v>
      </c>
      <c r="E195" s="917">
        <v>12.5</v>
      </c>
      <c r="F195" s="917">
        <v>22.400000000000006</v>
      </c>
      <c r="G195" s="917">
        <v>40</v>
      </c>
      <c r="H195" s="917">
        <v>52.099999999999994</v>
      </c>
    </row>
    <row r="196" spans="1:24">
      <c r="B196">
        <v>525</v>
      </c>
      <c r="C196" s="1250">
        <f>((C197-C195)/2)+C195</f>
        <v>61</v>
      </c>
      <c r="D196" s="1243">
        <v>0</v>
      </c>
      <c r="E196" s="917">
        <v>13.25</v>
      </c>
      <c r="F196" s="917">
        <v>23.700000000000003</v>
      </c>
      <c r="G196" s="917">
        <v>41.300000000000011</v>
      </c>
      <c r="H196" s="917">
        <v>53.400000000000006</v>
      </c>
    </row>
    <row r="197" spans="1:24">
      <c r="B197">
        <v>550</v>
      </c>
      <c r="C197" s="1243">
        <v>63</v>
      </c>
      <c r="D197" s="1243">
        <v>0</v>
      </c>
      <c r="E197" s="917">
        <v>14</v>
      </c>
      <c r="F197" s="917">
        <v>25</v>
      </c>
      <c r="G197" s="917">
        <v>42.599999999999994</v>
      </c>
      <c r="H197" s="917">
        <v>55.800000000000011</v>
      </c>
    </row>
    <row r="198" spans="1:24">
      <c r="B198">
        <v>575</v>
      </c>
      <c r="C198" s="1250">
        <f>((C199-C197)/2)+C197</f>
        <v>65.5</v>
      </c>
      <c r="D198" s="1243">
        <v>0</v>
      </c>
      <c r="E198" s="917">
        <v>14.75</v>
      </c>
      <c r="F198" s="917">
        <v>26.300000000000011</v>
      </c>
      <c r="G198" s="917">
        <v>43.900000000000006</v>
      </c>
      <c r="H198" s="917">
        <v>58.199999999999989</v>
      </c>
    </row>
    <row r="199" spans="1:24">
      <c r="B199">
        <v>600</v>
      </c>
      <c r="C199" s="1243">
        <v>68</v>
      </c>
      <c r="D199" s="1243">
        <v>0</v>
      </c>
      <c r="E199" s="917">
        <v>14.5</v>
      </c>
      <c r="F199" s="917">
        <v>26.599999999999994</v>
      </c>
      <c r="G199" s="917">
        <v>21.099999999999994</v>
      </c>
      <c r="H199" s="917">
        <v>59.599999999999994</v>
      </c>
    </row>
    <row r="200" spans="1:24">
      <c r="C200" s="1235"/>
      <c r="D200" s="1235"/>
      <c r="E200"/>
      <c r="F200"/>
      <c r="G200"/>
      <c r="H200"/>
      <c r="I200" s="1235"/>
      <c r="J200" s="1235"/>
      <c r="K200" s="1235"/>
      <c r="L200" s="1235"/>
      <c r="M200" s="1235"/>
      <c r="N200" s="1235"/>
      <c r="O200" s="1235"/>
      <c r="P200" s="1235"/>
      <c r="Q200" s="1235"/>
      <c r="R200" s="1235"/>
      <c r="S200" s="1235"/>
      <c r="T200" s="1235"/>
      <c r="U200" s="606"/>
      <c r="V200" s="606"/>
      <c r="W200" s="606"/>
      <c r="X200" s="606"/>
    </row>
    <row r="201" spans="1:24">
      <c r="B201" s="15"/>
    </row>
    <row r="202" spans="1:24">
      <c r="A202" s="15" t="s">
        <v>291</v>
      </c>
      <c r="B202" s="42"/>
      <c r="C202" s="17" t="s">
        <v>36</v>
      </c>
    </row>
    <row r="203" spans="1:24">
      <c r="A203" t="s">
        <v>69</v>
      </c>
      <c r="B203" t="s">
        <v>69</v>
      </c>
      <c r="C203" s="17">
        <v>77</v>
      </c>
      <c r="G203" s="1251"/>
      <c r="H203" s="1251"/>
      <c r="I203" s="1251"/>
    </row>
    <row r="204" spans="1:24">
      <c r="A204" t="s">
        <v>70</v>
      </c>
      <c r="B204" t="s">
        <v>70</v>
      </c>
      <c r="C204" s="17">
        <v>82</v>
      </c>
      <c r="G204" s="1251"/>
      <c r="H204" s="1251"/>
      <c r="I204" s="1251"/>
    </row>
    <row r="205" spans="1:24">
      <c r="A205" t="s">
        <v>71</v>
      </c>
      <c r="B205" t="s">
        <v>71</v>
      </c>
      <c r="C205" s="17">
        <v>80</v>
      </c>
      <c r="G205" s="1251"/>
      <c r="H205" s="1251"/>
      <c r="I205" s="1251"/>
    </row>
    <row r="206" spans="1:24">
      <c r="G206" s="1251"/>
      <c r="H206" s="1251"/>
      <c r="I206" s="1251"/>
    </row>
    <row r="208" spans="1:24">
      <c r="A208" s="15" t="s">
        <v>289</v>
      </c>
      <c r="B208" s="42"/>
    </row>
    <row r="209" spans="1:8">
      <c r="B209" t="s">
        <v>37</v>
      </c>
      <c r="C209" s="1236">
        <v>2</v>
      </c>
      <c r="D209" s="1243"/>
    </row>
    <row r="210" spans="1:8">
      <c r="B210" t="s">
        <v>38</v>
      </c>
      <c r="C210" s="1236">
        <v>3</v>
      </c>
      <c r="D210" s="1243"/>
    </row>
    <row r="211" spans="1:8">
      <c r="B211" t="s">
        <v>39</v>
      </c>
      <c r="C211" s="1236">
        <v>6</v>
      </c>
      <c r="D211" s="1243"/>
    </row>
    <row r="212" spans="1:8">
      <c r="H212" s="17" t="s">
        <v>384</v>
      </c>
    </row>
    <row r="213" spans="1:8">
      <c r="A213" s="15" t="s">
        <v>288</v>
      </c>
      <c r="B213" s="42"/>
      <c r="D213" s="17" t="s">
        <v>382</v>
      </c>
      <c r="E213" s="17" t="s">
        <v>383</v>
      </c>
      <c r="H213" s="17">
        <v>0</v>
      </c>
    </row>
    <row r="214" spans="1:8">
      <c r="B214" t="s">
        <v>72</v>
      </c>
      <c r="D214" s="17" t="s">
        <v>65</v>
      </c>
      <c r="E214" s="17">
        <v>12</v>
      </c>
      <c r="G214" s="1252" t="s">
        <v>370</v>
      </c>
      <c r="H214" s="17">
        <v>10</v>
      </c>
    </row>
    <row r="215" spans="1:8">
      <c r="B215" t="s">
        <v>73</v>
      </c>
      <c r="D215" s="17" t="s">
        <v>65</v>
      </c>
      <c r="E215" s="17">
        <v>8</v>
      </c>
      <c r="G215" s="1252" t="s">
        <v>371</v>
      </c>
      <c r="H215" s="17">
        <v>17</v>
      </c>
    </row>
    <row r="216" spans="1:8">
      <c r="B216" t="s">
        <v>75</v>
      </c>
      <c r="D216" s="17" t="s">
        <v>65</v>
      </c>
      <c r="E216" s="17">
        <v>4</v>
      </c>
      <c r="G216" s="1252" t="s">
        <v>372</v>
      </c>
      <c r="H216" s="17">
        <v>30</v>
      </c>
    </row>
    <row r="217" spans="1:8">
      <c r="B217" t="s">
        <v>74</v>
      </c>
      <c r="D217" s="17" t="s">
        <v>65</v>
      </c>
      <c r="E217" s="17">
        <v>2</v>
      </c>
      <c r="G217" s="1252" t="s">
        <v>373</v>
      </c>
      <c r="H217" s="17">
        <v>40</v>
      </c>
    </row>
    <row r="218" spans="1:8">
      <c r="B218" t="s">
        <v>72</v>
      </c>
      <c r="D218" s="17" t="s">
        <v>66</v>
      </c>
      <c r="E218" s="17">
        <v>12</v>
      </c>
      <c r="G218" s="1252" t="s">
        <v>374</v>
      </c>
      <c r="H218" s="17">
        <v>11</v>
      </c>
    </row>
    <row r="219" spans="1:8">
      <c r="B219" t="s">
        <v>73</v>
      </c>
      <c r="D219" s="17" t="s">
        <v>66</v>
      </c>
      <c r="E219" s="17">
        <v>8</v>
      </c>
      <c r="G219" s="1252" t="s">
        <v>375</v>
      </c>
      <c r="H219" s="17">
        <v>20</v>
      </c>
    </row>
    <row r="220" spans="1:8">
      <c r="B220" t="s">
        <v>75</v>
      </c>
      <c r="D220" s="17" t="s">
        <v>66</v>
      </c>
      <c r="E220" s="17">
        <v>4</v>
      </c>
      <c r="G220" s="1252" t="s">
        <v>376</v>
      </c>
      <c r="H220" s="17">
        <v>35</v>
      </c>
    </row>
    <row r="221" spans="1:8">
      <c r="B221" t="s">
        <v>74</v>
      </c>
      <c r="D221" s="17" t="s">
        <v>66</v>
      </c>
      <c r="E221" s="17">
        <v>2</v>
      </c>
      <c r="G221" s="1252" t="s">
        <v>377</v>
      </c>
      <c r="H221" s="17">
        <v>45</v>
      </c>
    </row>
    <row r="222" spans="1:8">
      <c r="B222" t="s">
        <v>72</v>
      </c>
      <c r="D222" s="17" t="s">
        <v>67</v>
      </c>
      <c r="E222" s="17">
        <v>12</v>
      </c>
      <c r="G222" s="1252" t="s">
        <v>378</v>
      </c>
      <c r="H222" s="17">
        <v>12</v>
      </c>
    </row>
    <row r="223" spans="1:8">
      <c r="B223" t="s">
        <v>73</v>
      </c>
      <c r="D223" s="17" t="s">
        <v>67</v>
      </c>
      <c r="E223" s="17">
        <v>8</v>
      </c>
      <c r="G223" s="1252" t="s">
        <v>379</v>
      </c>
      <c r="H223" s="17">
        <v>22</v>
      </c>
    </row>
    <row r="224" spans="1:8">
      <c r="B224" t="s">
        <v>75</v>
      </c>
      <c r="D224" s="17" t="s">
        <v>67</v>
      </c>
      <c r="E224" s="17">
        <v>4</v>
      </c>
      <c r="G224" s="1252" t="s">
        <v>380</v>
      </c>
      <c r="H224" s="17">
        <v>39</v>
      </c>
    </row>
    <row r="225" spans="1:8">
      <c r="B225" t="s">
        <v>74</v>
      </c>
      <c r="D225" s="17" t="s">
        <v>67</v>
      </c>
      <c r="E225" s="17">
        <v>2</v>
      </c>
      <c r="G225" s="1252" t="s">
        <v>381</v>
      </c>
      <c r="H225" s="17">
        <v>51</v>
      </c>
    </row>
    <row r="227" spans="1:8">
      <c r="A227" s="15" t="s">
        <v>136</v>
      </c>
      <c r="B227" s="42"/>
    </row>
    <row r="228" spans="1:8">
      <c r="B228" s="24">
        <v>3</v>
      </c>
    </row>
    <row r="229" spans="1:8">
      <c r="B229" s="24">
        <v>3.5</v>
      </c>
    </row>
    <row r="230" spans="1:8">
      <c r="B230" s="24">
        <v>4</v>
      </c>
    </row>
    <row r="231" spans="1:8">
      <c r="B231" s="24">
        <v>4.5</v>
      </c>
    </row>
    <row r="232" spans="1:8">
      <c r="B232" s="24">
        <v>5</v>
      </c>
    </row>
    <row r="233" spans="1:8">
      <c r="B233" s="24">
        <v>5.5</v>
      </c>
    </row>
    <row r="234" spans="1:8">
      <c r="B234" s="24">
        <v>6</v>
      </c>
    </row>
    <row r="235" spans="1:8">
      <c r="B235" s="24">
        <v>6.5</v>
      </c>
    </row>
    <row r="236" spans="1:8">
      <c r="B236" s="24">
        <v>7</v>
      </c>
    </row>
    <row r="238" spans="1:8">
      <c r="A238" s="15" t="s">
        <v>79</v>
      </c>
      <c r="B238" s="42"/>
    </row>
    <row r="239" spans="1:8">
      <c r="B239">
        <v>-0.8</v>
      </c>
    </row>
    <row r="240" spans="1:8">
      <c r="B240">
        <v>-0.6</v>
      </c>
    </row>
    <row r="241" spans="1:3">
      <c r="B241">
        <v>-0.4</v>
      </c>
    </row>
    <row r="242" spans="1:3">
      <c r="B242">
        <v>-0.2</v>
      </c>
    </row>
    <row r="243" spans="1:3">
      <c r="B243">
        <v>-0.1</v>
      </c>
    </row>
    <row r="244" spans="1:3">
      <c r="B244">
        <v>0</v>
      </c>
    </row>
    <row r="245" spans="1:3">
      <c r="B245">
        <v>0.1</v>
      </c>
    </row>
    <row r="246" spans="1:3">
      <c r="B246">
        <v>0.2</v>
      </c>
    </row>
    <row r="247" spans="1:3">
      <c r="B247">
        <v>0.4</v>
      </c>
    </row>
    <row r="248" spans="1:3">
      <c r="B248">
        <v>0.6</v>
      </c>
    </row>
    <row r="250" spans="1:3">
      <c r="A250" s="15" t="s">
        <v>453</v>
      </c>
      <c r="B250" s="42" t="s">
        <v>63</v>
      </c>
      <c r="C250" s="17" t="s">
        <v>408</v>
      </c>
    </row>
    <row r="251" spans="1:3">
      <c r="B251" t="s">
        <v>354</v>
      </c>
      <c r="C251" s="17">
        <v>18</v>
      </c>
    </row>
    <row r="252" spans="1:3">
      <c r="B252" t="s">
        <v>355</v>
      </c>
      <c r="C252" s="17">
        <v>16</v>
      </c>
    </row>
    <row r="253" spans="1:3">
      <c r="B253" t="s">
        <v>356</v>
      </c>
      <c r="C253" s="17">
        <v>14</v>
      </c>
    </row>
    <row r="254" spans="1:3">
      <c r="B254" t="s">
        <v>125</v>
      </c>
      <c r="C254" s="17">
        <v>12</v>
      </c>
    </row>
    <row r="256" spans="1:3">
      <c r="B256" s="42"/>
    </row>
    <row r="257" spans="1:3">
      <c r="A257" s="15" t="s">
        <v>367</v>
      </c>
      <c r="B257" t="s">
        <v>180</v>
      </c>
    </row>
    <row r="258" spans="1:3">
      <c r="B258" t="s">
        <v>179</v>
      </c>
    </row>
    <row r="259" spans="1:3">
      <c r="B259" s="42"/>
    </row>
    <row r="260" spans="1:3">
      <c r="C260" s="17" t="s">
        <v>409</v>
      </c>
    </row>
    <row r="261" spans="1:3">
      <c r="B261" t="s">
        <v>354</v>
      </c>
      <c r="C261" s="17">
        <v>0.4</v>
      </c>
    </row>
    <row r="262" spans="1:3">
      <c r="B262" t="s">
        <v>355</v>
      </c>
      <c r="C262" s="17">
        <v>0.3</v>
      </c>
    </row>
    <row r="263" spans="1:3">
      <c r="B263" t="s">
        <v>356</v>
      </c>
      <c r="C263" s="17">
        <v>0.2</v>
      </c>
    </row>
    <row r="264" spans="1:3">
      <c r="B264" t="s">
        <v>125</v>
      </c>
      <c r="C264" s="17">
        <v>0.4</v>
      </c>
    </row>
    <row r="269" spans="1:3">
      <c r="A269" s="15" t="s">
        <v>651</v>
      </c>
      <c r="B269" t="s">
        <v>125</v>
      </c>
    </row>
    <row r="270" spans="1:3">
      <c r="B270" t="s">
        <v>126</v>
      </c>
    </row>
  </sheetData>
  <sortState xmlns:xlrd2="http://schemas.microsoft.com/office/spreadsheetml/2017/richdata2" ref="B3:I41">
    <sortCondition ref="B3"/>
  </sortState>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L29"/>
  <sheetViews>
    <sheetView zoomScale="131" workbookViewId="0">
      <selection activeCell="I5" sqref="I5"/>
    </sheetView>
  </sheetViews>
  <sheetFormatPr defaultRowHeight="14.4"/>
  <cols>
    <col min="1" max="1" width="26.109375" bestFit="1" customWidth="1"/>
    <col min="2" max="2" width="6.44140625" style="3" customWidth="1"/>
    <col min="3" max="3" width="30.5546875" bestFit="1" customWidth="1"/>
    <col min="4" max="4" width="26" bestFit="1" customWidth="1"/>
    <col min="5" max="5" width="16.88671875" customWidth="1"/>
    <col min="6" max="6" width="25" bestFit="1" customWidth="1"/>
    <col min="7" max="7" width="28.44140625" customWidth="1"/>
    <col min="8" max="8" width="25" bestFit="1" customWidth="1"/>
    <col min="9" max="9" width="26.109375" customWidth="1"/>
    <col min="10" max="10" width="25.5546875" bestFit="1" customWidth="1"/>
    <col min="11" max="11" width="26.88671875" customWidth="1"/>
    <col min="12" max="12" width="19.88671875" customWidth="1"/>
  </cols>
  <sheetData>
    <row r="1" spans="1:11">
      <c r="A1" s="15" t="s">
        <v>333</v>
      </c>
      <c r="B1" s="897"/>
    </row>
    <row r="2" spans="1:11">
      <c r="D2" s="1937" t="s">
        <v>602</v>
      </c>
      <c r="E2" s="1937"/>
      <c r="F2" s="1937"/>
      <c r="G2" s="1937"/>
      <c r="H2" s="1937"/>
    </row>
    <row r="3" spans="1:11" ht="21.6" thickBot="1">
      <c r="A3" s="15" t="s">
        <v>331</v>
      </c>
      <c r="B3" s="897"/>
      <c r="C3" s="1221" t="s">
        <v>338</v>
      </c>
    </row>
    <row r="4" spans="1:11">
      <c r="A4" s="920" t="s">
        <v>337</v>
      </c>
      <c r="B4" s="1216" t="s">
        <v>360</v>
      </c>
      <c r="C4" s="1229" t="s">
        <v>191</v>
      </c>
      <c r="D4" s="1232" t="s">
        <v>332</v>
      </c>
      <c r="E4" s="1230" t="s">
        <v>286</v>
      </c>
      <c r="F4" s="1231" t="s">
        <v>336</v>
      </c>
      <c r="G4" s="1634" t="s">
        <v>633</v>
      </c>
      <c r="H4" s="1634" t="s">
        <v>634</v>
      </c>
      <c r="I4" s="1230" t="s">
        <v>287</v>
      </c>
      <c r="J4" s="1230" t="s">
        <v>547</v>
      </c>
      <c r="K4" s="1634" t="s">
        <v>629</v>
      </c>
    </row>
    <row r="5" spans="1:11">
      <c r="A5" s="919"/>
      <c r="B5" s="1217"/>
      <c r="C5" s="1219" t="str">
        <f>'Data source'!B4</f>
        <v>Autumn and winter</v>
      </c>
      <c r="D5" s="1214" t="str">
        <f>'Data source'!B16</f>
        <v>Hay - pasture - good</v>
      </c>
      <c r="E5" s="1213" t="str">
        <f>'Data source'!B29</f>
        <v>Barley</v>
      </c>
      <c r="F5" s="1510" t="str">
        <f>'Data source'!B53</f>
        <v>Apple pomace</v>
      </c>
      <c r="G5" s="1511" t="str">
        <f>'CUSTOM FEED SET-UP'!B5</f>
        <v>Bulb only</v>
      </c>
      <c r="H5" s="1509" t="str">
        <f>'Data source'!B41</f>
        <v>Chicory</v>
      </c>
      <c r="I5" s="1210" t="str">
        <f>'Data source'!B100</f>
        <v xml:space="preserve">Limeflour </v>
      </c>
      <c r="J5" s="1213" t="str">
        <f>'CUSTOM FEED SET-UP'!B34</f>
        <v>Custom feed 1</v>
      </c>
      <c r="K5" s="1511" t="str">
        <f>'CUSTOM FEED SET-UP'!B17</f>
        <v xml:space="preserve"> Bulb only</v>
      </c>
    </row>
    <row r="6" spans="1:11">
      <c r="A6" s="919" t="s">
        <v>332</v>
      </c>
      <c r="B6" s="1217" t="s">
        <v>531</v>
      </c>
      <c r="C6" s="1219" t="str">
        <f>'Data source'!B5</f>
        <v>Autumn &amp; winter -Irrigated</v>
      </c>
      <c r="D6" s="1214" t="str">
        <f>'Data source'!B17</f>
        <v>Hay - pasture - poor</v>
      </c>
      <c r="E6" s="1213" t="str">
        <f>'Data source'!B30</f>
        <v>Bran (wheat)</v>
      </c>
      <c r="F6" s="1510" t="str">
        <f>'Data source'!B54</f>
        <v>Brewers grain</v>
      </c>
      <c r="G6" s="1511" t="str">
        <f>'CUSTOM FEED SET-UP'!B7</f>
        <v>Bulb 90% Leaf 10%</v>
      </c>
      <c r="H6" s="1509" t="str">
        <f>'Data source'!B42</f>
        <v>Kale</v>
      </c>
      <c r="I6" s="1210" t="str">
        <f>'Data source'!B99</f>
        <v xml:space="preserve">Gypsum </v>
      </c>
      <c r="J6" s="1213" t="str">
        <f>'CUSTOM FEED SET-UP'!B35</f>
        <v>Custom feed 2</v>
      </c>
      <c r="K6" s="1511" t="str">
        <f>'CUSTOM FEED SET-UP'!B19</f>
        <v xml:space="preserve"> Bulb 90% Leaf 10%</v>
      </c>
    </row>
    <row r="7" spans="1:11">
      <c r="A7" s="921" t="s">
        <v>286</v>
      </c>
      <c r="B7" s="1217" t="s">
        <v>532</v>
      </c>
      <c r="C7" s="1219" t="str">
        <f>'Data source'!B6</f>
        <v>Spring</v>
      </c>
      <c r="D7" s="1214" t="str">
        <f>'Data source'!B18</f>
        <v>Straw - cereal</v>
      </c>
      <c r="E7" s="1213" t="str">
        <f>'Data source'!B31</f>
        <v>Canola meal</v>
      </c>
      <c r="F7" s="1510" t="str">
        <f>'Data source'!B55</f>
        <v>Broll</v>
      </c>
      <c r="G7" s="1511" t="str">
        <f>'CUSTOM FEED SET-UP'!B8</f>
        <v>Bulb 85% Leaf 15%</v>
      </c>
      <c r="H7" s="1509" t="str">
        <f>'Data source'!B43</f>
        <v>Lucerne</v>
      </c>
      <c r="I7" s="1210" t="str">
        <f>'Data source'!B101</f>
        <v xml:space="preserve">DCP </v>
      </c>
      <c r="J7" s="1213" t="str">
        <f>'CUSTOM FEED SET-UP'!B36</f>
        <v>Custom feed 3</v>
      </c>
      <c r="K7" s="1511" t="str">
        <f>'CUSTOM FEED SET-UP'!B20</f>
        <v xml:space="preserve"> Bulb 85% Leaf 15%</v>
      </c>
    </row>
    <row r="8" spans="1:11">
      <c r="A8" s="921" t="s">
        <v>336</v>
      </c>
      <c r="B8" s="1217" t="s">
        <v>533</v>
      </c>
      <c r="C8" s="1219" t="str">
        <f>'Data source'!B7</f>
        <v>Spring - Irrigated</v>
      </c>
      <c r="D8" s="1214" t="str">
        <f>'Data source'!B19</f>
        <v>Silage -pasture - good</v>
      </c>
      <c r="E8" s="1213" t="str">
        <f>'Data source'!B32</f>
        <v>Maize grain</v>
      </c>
      <c r="F8" s="1510" t="str">
        <f>'Data source'!B56</f>
        <v>DDG (Dried distillers grain)</v>
      </c>
      <c r="G8" s="1511" t="str">
        <f>'CUSTOM FEED SET-UP'!B9</f>
        <v>Bulb 80% Leaf 20%</v>
      </c>
      <c r="H8" s="1509" t="str">
        <f>'Data source'!B44</f>
        <v>Swedes</v>
      </c>
      <c r="I8" s="1210" t="str">
        <f>'Data source'!B97</f>
        <v xml:space="preserve">MgCl2 </v>
      </c>
      <c r="J8" s="1213" t="str">
        <f>'CUSTOM FEED SET-UP'!B37</f>
        <v>Custom feed 4</v>
      </c>
      <c r="K8" s="1511" t="str">
        <f>'CUSTOM FEED SET-UP'!B21</f>
        <v xml:space="preserve"> Bulb 80% Leaf 20%</v>
      </c>
    </row>
    <row r="9" spans="1:11">
      <c r="A9" s="921" t="s">
        <v>633</v>
      </c>
      <c r="B9" s="1217" t="s">
        <v>534</v>
      </c>
      <c r="C9" s="1219" t="str">
        <f>'Data source'!B8</f>
        <v>Summer - leafy</v>
      </c>
      <c r="D9" s="1214" t="str">
        <f>'Data source'!B20</f>
        <v>Silage - pasture - poor</v>
      </c>
      <c r="E9" s="1213" t="str">
        <f>'Data source'!B33</f>
        <v>Oats</v>
      </c>
      <c r="F9" s="1510" t="str">
        <f>'Data source'!B57</f>
        <v>Molasses</v>
      </c>
      <c r="G9" s="1511" t="str">
        <f>'CUSTOM FEED SET-UP'!B10</f>
        <v>Bulb 75% Leaf 25%</v>
      </c>
      <c r="H9" s="1509" t="str">
        <f>'Data source'!B45</f>
        <v>Turnips</v>
      </c>
      <c r="I9" s="1210" t="str">
        <f>'Data source'!B98</f>
        <v xml:space="preserve">MgO </v>
      </c>
      <c r="J9" s="1213" t="str">
        <f>'CUSTOM FEED SET-UP'!B38</f>
        <v>Custom feed 5</v>
      </c>
      <c r="K9" s="1511" t="str">
        <f>'CUSTOM FEED SET-UP'!B22</f>
        <v xml:space="preserve"> Bulb 75% Leaf 25%</v>
      </c>
    </row>
    <row r="10" spans="1:11">
      <c r="A10" s="922" t="s">
        <v>634</v>
      </c>
      <c r="B10" s="1217" t="s">
        <v>535</v>
      </c>
      <c r="C10" s="1219" t="str">
        <f>'Data source'!B9</f>
        <v>Summer - leafy - irrigated</v>
      </c>
      <c r="D10" s="1214" t="str">
        <f>'Data source'!B21</f>
        <v>Silage - maize - good</v>
      </c>
      <c r="E10" s="1213" t="str">
        <f>'Data source'!B34</f>
        <v>Soyabean hulls</v>
      </c>
      <c r="F10" s="1510" t="str">
        <f>'Data source'!B52</f>
        <v>PKE</v>
      </c>
      <c r="G10" s="1511" t="str">
        <f>'CUSTOM FEED SET-UP'!B11</f>
        <v>Bulb 70% leaf 30%</v>
      </c>
      <c r="H10" s="1509"/>
      <c r="I10" s="1210" t="str">
        <f>'Data source'!B96</f>
        <v xml:space="preserve">MgSO4 </v>
      </c>
      <c r="J10" s="1213" t="str">
        <f>'CUSTOM FEED SET-UP'!B39</f>
        <v>Custom feed 6</v>
      </c>
      <c r="K10" s="1511" t="str">
        <f>'CUSTOM FEED SET-UP'!B23</f>
        <v xml:space="preserve"> Bulb 70% leaf 30%</v>
      </c>
    </row>
    <row r="11" spans="1:11" ht="15" thickBot="1">
      <c r="A11" s="921" t="s">
        <v>287</v>
      </c>
      <c r="B11" s="1218" t="s">
        <v>536</v>
      </c>
      <c r="C11" s="1219" t="str">
        <f>'Data source'!B10</f>
        <v>Summer - stalky</v>
      </c>
      <c r="D11" s="1214" t="str">
        <f>'Data source'!B22</f>
        <v>Silage - maize - poor</v>
      </c>
      <c r="E11" s="1213" t="str">
        <f>'Data source'!B35</f>
        <v>Soyabean meal</v>
      </c>
      <c r="F11" s="1510" t="str">
        <f>'Data source'!B58</f>
        <v>Potatoes</v>
      </c>
      <c r="G11" s="1511" t="str">
        <f>'CUSTOM FEED SET-UP'!B2</f>
        <v>Custom: Bulb% &amp; Leaf%</v>
      </c>
      <c r="H11" s="1509"/>
      <c r="I11" s="1210" t="str">
        <f>'Data source'!B102</f>
        <v>MSP</v>
      </c>
      <c r="J11" s="1213" t="str">
        <f>'CUSTOM FEED SET-UP'!B40</f>
        <v>Custom feed 7</v>
      </c>
      <c r="K11" s="1511" t="str">
        <f>'CUSTOM FEED SET-UP'!B24</f>
        <v xml:space="preserve"> Custom: Bulb% &amp; Leaf%</v>
      </c>
    </row>
    <row r="12" spans="1:11" ht="15" thickBot="1">
      <c r="A12" s="1287" t="s">
        <v>547</v>
      </c>
      <c r="B12" s="1218" t="s">
        <v>537</v>
      </c>
      <c r="C12" s="1219" t="str">
        <f>'Data source'!B11</f>
        <v>Kikuyu - leafy</v>
      </c>
      <c r="D12" s="1214" t="str">
        <f>'Data source'!B23</f>
        <v>Silage -whole crop</v>
      </c>
      <c r="E12" s="1213" t="str">
        <f>'Data source'!B36</f>
        <v>Tapioca</v>
      </c>
      <c r="F12" s="1510" t="str">
        <f>'Data source'!B59</f>
        <v>Urea</v>
      </c>
      <c r="G12" s="1512"/>
      <c r="H12" s="1509"/>
      <c r="I12" s="1211" t="str">
        <f>'Data source'!B104</f>
        <v>MCP</v>
      </c>
      <c r="J12" s="1213" t="str">
        <f>'CUSTOM FEED SET-UP'!B41</f>
        <v>Custom feed 8</v>
      </c>
    </row>
    <row r="13" spans="1:11" ht="15" thickBot="1">
      <c r="A13" s="922" t="s">
        <v>629</v>
      </c>
      <c r="B13" s="3" t="s">
        <v>538</v>
      </c>
      <c r="C13" s="1219" t="str">
        <f>'Data source'!B12</f>
        <v>Kikuyu - stemmy</v>
      </c>
      <c r="D13" s="1214" t="str">
        <f>'Data source'!B24</f>
        <v>Silage -lucerne</v>
      </c>
      <c r="E13" s="1213" t="str">
        <f>'Data source'!B37</f>
        <v>Wheat</v>
      </c>
      <c r="F13" s="1510" t="str">
        <f>'Data source'!B60</f>
        <v/>
      </c>
      <c r="H13" s="1509"/>
      <c r="I13" s="1211" t="str">
        <f>'Data source'!B105</f>
        <v>MGP</v>
      </c>
      <c r="J13" s="1213" t="str">
        <f>'CUSTOM FEED SET-UP'!B42</f>
        <v>Custom feed 9</v>
      </c>
    </row>
    <row r="14" spans="1:11" ht="15" thickBot="1">
      <c r="C14" s="1219" t="str">
        <f>'Data source'!B13</f>
        <v/>
      </c>
      <c r="D14" s="1214" t="str">
        <f>'Data source'!B25</f>
        <v>Silage - cereal</v>
      </c>
      <c r="E14" s="1213" t="str">
        <f>'Data source'!B38</f>
        <v/>
      </c>
      <c r="F14" s="1510" t="str">
        <f>'Data source'!B61</f>
        <v/>
      </c>
      <c r="I14" s="1211"/>
      <c r="J14" s="1213" t="str">
        <f>'CUSTOM FEED SET-UP'!B43</f>
        <v>Custom feed 10</v>
      </c>
      <c r="K14" s="3"/>
    </row>
    <row r="15" spans="1:11" ht="15" thickBot="1">
      <c r="C15" s="1219" t="str">
        <f>'Data source'!B14</f>
        <v/>
      </c>
      <c r="D15" s="1214" t="str">
        <f>'Data source'!B26</f>
        <v>Baleage</v>
      </c>
      <c r="E15" s="1508" t="str">
        <f>'Data source'!B39</f>
        <v/>
      </c>
    </row>
    <row r="16" spans="1:11" ht="15" thickBot="1">
      <c r="D16" s="1215" t="str">
        <f>'Data source'!B27</f>
        <v/>
      </c>
    </row>
    <row r="17" spans="1:12" ht="21.6" thickBot="1">
      <c r="C17" s="1221" t="s">
        <v>359</v>
      </c>
      <c r="E17" s="918" t="s">
        <v>368</v>
      </c>
      <c r="F17" s="918"/>
    </row>
    <row r="18" spans="1:12" ht="15" thickBot="1">
      <c r="A18" t="s">
        <v>455</v>
      </c>
      <c r="C18" s="1229"/>
      <c r="D18" s="1232" t="s">
        <v>539</v>
      </c>
      <c r="E18" s="1230" t="s">
        <v>540</v>
      </c>
      <c r="F18" s="1282" t="s">
        <v>541</v>
      </c>
      <c r="G18" s="1634" t="s">
        <v>542</v>
      </c>
      <c r="H18" s="1231" t="s">
        <v>543</v>
      </c>
      <c r="I18" s="1233" t="s">
        <v>544</v>
      </c>
      <c r="J18" s="1635" t="s">
        <v>545</v>
      </c>
      <c r="K18" s="1230" t="s">
        <v>546</v>
      </c>
    </row>
    <row r="19" spans="1:12" ht="15" thickBot="1">
      <c r="A19" s="1217" t="s">
        <v>531</v>
      </c>
      <c r="B19" s="897"/>
      <c r="C19" s="1203" t="str">
        <f>'Data source'!B121</f>
        <v>grazing - very good conditions</v>
      </c>
      <c r="D19" s="1205" t="str">
        <f>'Data source'!B128</f>
        <v>feed pad</v>
      </c>
      <c r="E19" s="1207" t="str">
        <f>'Data source'!B134</f>
        <v>in-shed</v>
      </c>
      <c r="F19" s="1207" t="str">
        <f>'Data source'!B147</f>
        <v>in-shed</v>
      </c>
      <c r="G19" s="1209" t="str">
        <f>'Data source'!B178</f>
        <v>Utilisation 95%</v>
      </c>
      <c r="H19" s="1212" t="str">
        <f>'Data source'!B178</f>
        <v>Utilisation 95%</v>
      </c>
      <c r="I19" s="1203" t="str">
        <f>'Data source'!B155</f>
        <v>in-shed</v>
      </c>
      <c r="J19" s="1212" t="str">
        <f>'Data source'!B166</f>
        <v>in-shed</v>
      </c>
      <c r="K19" s="1212" t="str">
        <f>'Data source'!B178</f>
        <v>Utilisation 95%</v>
      </c>
      <c r="L19" s="1283"/>
    </row>
    <row r="20" spans="1:12" ht="15" thickBot="1">
      <c r="A20" s="1217" t="s">
        <v>532</v>
      </c>
      <c r="C20" s="1204" t="str">
        <f>'Data source'!B122</f>
        <v>grazing - good conditions</v>
      </c>
      <c r="D20" s="1206" t="str">
        <f>'Data source'!B129</f>
        <v>in paddock good conditions</v>
      </c>
      <c r="E20" s="1208" t="str">
        <f>'Data source'!B135</f>
        <v>feed pad</v>
      </c>
      <c r="F20" s="1207" t="str">
        <f>'Data source'!B148</f>
        <v>feed pad</v>
      </c>
      <c r="G20" s="1209" t="str">
        <f>'Data source'!B179</f>
        <v>Utilisation 90%</v>
      </c>
      <c r="H20" s="1212" t="str">
        <f>'Data source'!B179</f>
        <v>Utilisation 90%</v>
      </c>
      <c r="I20" s="1203" t="str">
        <f>'Data source'!B156</f>
        <v>feed pad</v>
      </c>
      <c r="J20" s="1212" t="str">
        <f>'Data source'!B167</f>
        <v>feed pad</v>
      </c>
      <c r="K20" s="1212" t="str">
        <f>'Data source'!B179</f>
        <v>Utilisation 90%</v>
      </c>
      <c r="L20" s="1283"/>
    </row>
    <row r="21" spans="1:12" ht="15" thickBot="1">
      <c r="A21" s="1217" t="s">
        <v>533</v>
      </c>
      <c r="C21" s="1204" t="str">
        <f>'Data source'!B123</f>
        <v>grazing - wet conditions</v>
      </c>
      <c r="D21" s="1206" t="str">
        <f>'Data source'!B130</f>
        <v>in paddock poor conditions</v>
      </c>
      <c r="E21" s="1208" t="str">
        <f>'Data source'!B136</f>
        <v>in trailer</v>
      </c>
      <c r="F21" s="1207" t="str">
        <f>'Data source'!B149</f>
        <v>in trailer</v>
      </c>
      <c r="G21" s="1209" t="str">
        <f>'Data source'!B180</f>
        <v>Utilisation 85%</v>
      </c>
      <c r="H21" s="1212" t="str">
        <f>'Data source'!B180</f>
        <v>Utilisation 85%</v>
      </c>
      <c r="I21" s="1203" t="str">
        <f>'Data source'!B157</f>
        <v>in trailer</v>
      </c>
      <c r="J21" s="1212" t="str">
        <f>'Data source'!B168</f>
        <v>in trailer</v>
      </c>
      <c r="K21" s="1212" t="str">
        <f>'Data source'!B180</f>
        <v>Utilisation 85%</v>
      </c>
      <c r="L21" s="1283"/>
    </row>
    <row r="22" spans="1:12" ht="15" thickBot="1">
      <c r="A22" s="1217" t="s">
        <v>534</v>
      </c>
      <c r="C22" s="1204" t="str">
        <f>'Data source'!B124</f>
        <v>grazing - very poor conditions</v>
      </c>
      <c r="D22" s="1206" t="str">
        <f>'Data source'!B131</f>
        <v>in a bale feeder</v>
      </c>
      <c r="E22" s="1208" t="str">
        <f>'Data source'!B137</f>
        <v/>
      </c>
      <c r="F22" s="1207" t="str">
        <f>'Data source'!B150</f>
        <v>in paddock good conditions</v>
      </c>
      <c r="G22" s="1209" t="str">
        <f>'Data source'!B181</f>
        <v>Utilisation 80%</v>
      </c>
      <c r="H22" s="1212" t="str">
        <f>'Data source'!B181</f>
        <v>Utilisation 80%</v>
      </c>
      <c r="I22" s="1203" t="str">
        <f>'Data source'!B158</f>
        <v>dusted - good conditions</v>
      </c>
      <c r="J22" s="1212" t="str">
        <f>'Data source'!B169</f>
        <v>in paddock good conditions</v>
      </c>
      <c r="K22" s="1212" t="str">
        <f>'Data source'!B181</f>
        <v>Utilisation 80%</v>
      </c>
      <c r="L22" s="1283"/>
    </row>
    <row r="23" spans="1:12" ht="15" thickBot="1">
      <c r="A23" s="1217" t="s">
        <v>535</v>
      </c>
      <c r="C23" s="1204" t="str">
        <f>'Data source'!B125</f>
        <v/>
      </c>
      <c r="D23" s="1206" t="str">
        <f>'Data source'!B132</f>
        <v/>
      </c>
      <c r="E23" s="1207" t="str">
        <f>'Data source'!B138</f>
        <v/>
      </c>
      <c r="F23" s="1207" t="str">
        <f>'Data source'!B151</f>
        <v>in paddock wet conditions</v>
      </c>
      <c r="G23" s="1209" t="str">
        <f>'Data source'!B182</f>
        <v>Utilisation 75%</v>
      </c>
      <c r="H23" s="1212" t="str">
        <f>'Data source'!B182</f>
        <v>Utilisation 75%</v>
      </c>
      <c r="I23" s="1203" t="str">
        <f>'Data source'!B159</f>
        <v>dusted - wet conditions</v>
      </c>
      <c r="J23" s="1212" t="str">
        <f>'Data source'!B170</f>
        <v>in paddock wet conditions</v>
      </c>
      <c r="K23" s="1212" t="str">
        <f>'Data source'!B182</f>
        <v>Utilisation 75%</v>
      </c>
      <c r="L23" s="1283"/>
    </row>
    <row r="24" spans="1:12" ht="15" thickBot="1">
      <c r="A24" s="1218" t="s">
        <v>536</v>
      </c>
      <c r="C24" s="1204" t="str">
        <f>'Data source'!B126</f>
        <v/>
      </c>
      <c r="F24" s="1207" t="str">
        <f>'Data source'!B152</f>
        <v xml:space="preserve"> </v>
      </c>
      <c r="G24" s="1209" t="str">
        <f>'Data source'!B145</f>
        <v/>
      </c>
      <c r="H24" s="1212" t="str">
        <f>'Data source'!B183</f>
        <v>Utilisation 70%</v>
      </c>
      <c r="I24" s="1203" t="str">
        <f>'Data source'!B160</f>
        <v>in water</v>
      </c>
      <c r="J24" s="1212" t="str">
        <f>'Data source'!B171</f>
        <v>grazing - very good conditions</v>
      </c>
      <c r="K24" s="1212" t="str">
        <f>'Data source'!B183</f>
        <v>Utilisation 70%</v>
      </c>
      <c r="L24" s="1284"/>
    </row>
    <row r="25" spans="1:12" ht="15" thickBot="1">
      <c r="A25" s="1218" t="s">
        <v>537</v>
      </c>
      <c r="H25" s="1212" t="str">
        <f>'Data source'!B184</f>
        <v>Utilisation 65%</v>
      </c>
      <c r="I25" s="1203" t="str">
        <f>'Data source'!B161</f>
        <v>in slurry</v>
      </c>
      <c r="J25" s="1212" t="str">
        <f>'Data source'!B172</f>
        <v>grazing - good conditions</v>
      </c>
      <c r="K25" s="1212" t="str">
        <f>'Data source'!B184</f>
        <v>Utilisation 65%</v>
      </c>
      <c r="L25" s="1284"/>
    </row>
    <row r="26" spans="1:12" ht="15" thickBot="1">
      <c r="A26" s="3" t="s">
        <v>538</v>
      </c>
      <c r="H26" s="1212" t="str">
        <f>'Data source'!B185</f>
        <v>Utilisation 60%</v>
      </c>
      <c r="I26" s="1203" t="str">
        <f>'Data source'!B162</f>
        <v>loose lick</v>
      </c>
      <c r="J26" s="1212" t="str">
        <f>'Data source'!B173</f>
        <v>grazing - wet conditions</v>
      </c>
      <c r="K26" s="1212" t="str">
        <f>'Data source'!B185</f>
        <v>Utilisation 60%</v>
      </c>
      <c r="L26" s="1284"/>
    </row>
    <row r="27" spans="1:12" ht="15" thickBot="1">
      <c r="H27" s="1212" t="str">
        <f>'Data source'!B186</f>
        <v>Utilisation 55%</v>
      </c>
      <c r="I27" s="1203" t="str">
        <f>'Data source'!B163</f>
        <v xml:space="preserve"> </v>
      </c>
      <c r="J27" s="1212" t="str">
        <f>'Data source'!B174</f>
        <v>grazing - very poor conditions</v>
      </c>
      <c r="K27" s="1212" t="str">
        <f>'Data source'!B186</f>
        <v>Utilisation 55%</v>
      </c>
      <c r="L27" s="1284"/>
    </row>
    <row r="28" spans="1:12" ht="15" thickBot="1">
      <c r="A28" s="906"/>
      <c r="H28" s="1212" t="str">
        <f>'Data source'!B187</f>
        <v/>
      </c>
      <c r="I28" s="1203" t="str">
        <f>'Data source'!B164</f>
        <v xml:space="preserve"> </v>
      </c>
      <c r="J28" s="1212" t="s">
        <v>500</v>
      </c>
      <c r="K28" s="1212" t="str">
        <f>'Data source'!B187</f>
        <v/>
      </c>
      <c r="L28" s="1284"/>
    </row>
    <row r="29" spans="1:12">
      <c r="A29" s="52"/>
      <c r="J29" s="1212" t="str">
        <f>'Data source'!B176</f>
        <v/>
      </c>
    </row>
  </sheetData>
  <mergeCells count="1">
    <mergeCell ref="D2:H2"/>
  </mergeCells>
  <phoneticPr fontId="4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R71"/>
  <sheetViews>
    <sheetView topLeftCell="A43" zoomScale="60" zoomScaleNormal="60" workbookViewId="0">
      <selection activeCell="Q97" sqref="Q97"/>
    </sheetView>
  </sheetViews>
  <sheetFormatPr defaultRowHeight="14.4"/>
  <cols>
    <col min="10" max="10" width="2.44140625" customWidth="1"/>
    <col min="11" max="11" width="5.109375" customWidth="1"/>
    <col min="12" max="12" width="3.109375" customWidth="1"/>
    <col min="23" max="23" width="5.88671875" customWidth="1"/>
    <col min="24" max="24" width="5.44140625" customWidth="1"/>
  </cols>
  <sheetData>
    <row r="1" spans="1:44">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row>
    <row r="2" spans="1:44">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row>
    <row r="3" spans="1:44" ht="11.25" customHeight="1">
      <c r="A3" s="7"/>
      <c r="B3" s="167"/>
      <c r="C3" s="168"/>
      <c r="D3" s="168"/>
      <c r="E3" s="168"/>
      <c r="F3" s="168"/>
      <c r="G3" s="168"/>
      <c r="H3" s="168"/>
      <c r="I3" s="168"/>
      <c r="J3" s="168"/>
      <c r="K3" s="168"/>
      <c r="L3" s="168"/>
      <c r="M3" s="168"/>
      <c r="N3" s="168"/>
      <c r="O3" s="168"/>
      <c r="P3" s="168"/>
      <c r="Q3" s="168"/>
      <c r="R3" s="168"/>
      <c r="S3" s="168"/>
      <c r="T3" s="168"/>
      <c r="U3" s="168"/>
      <c r="V3" s="169"/>
      <c r="W3" s="7"/>
      <c r="X3" s="7"/>
      <c r="Y3" s="7"/>
      <c r="Z3" s="7"/>
      <c r="AA3" s="7"/>
      <c r="AB3" s="7"/>
      <c r="AC3" s="7"/>
      <c r="AD3" s="7"/>
      <c r="AE3" s="7"/>
      <c r="AF3" s="7"/>
      <c r="AG3" s="7"/>
      <c r="AH3" s="7"/>
      <c r="AI3" s="7"/>
      <c r="AJ3" s="7"/>
      <c r="AK3" s="7"/>
      <c r="AL3" s="7"/>
      <c r="AM3" s="7"/>
      <c r="AN3" s="7"/>
      <c r="AO3" s="7"/>
      <c r="AP3" s="7"/>
      <c r="AQ3" s="7"/>
      <c r="AR3" s="7"/>
    </row>
    <row r="4" spans="1:44" ht="27.6">
      <c r="A4" s="7"/>
      <c r="B4" s="170"/>
      <c r="C4" s="7"/>
      <c r="D4" s="7"/>
      <c r="E4" s="171"/>
      <c r="F4" s="171" t="s">
        <v>187</v>
      </c>
      <c r="G4" s="7"/>
      <c r="H4" s="7"/>
      <c r="I4" s="7"/>
      <c r="J4" s="7"/>
      <c r="K4" s="7"/>
      <c r="L4" s="7"/>
      <c r="M4" s="7"/>
      <c r="N4" s="7"/>
      <c r="O4" s="7"/>
      <c r="P4" s="7"/>
      <c r="Q4" s="7"/>
      <c r="R4" s="7"/>
      <c r="S4" s="7"/>
      <c r="T4" s="7"/>
      <c r="U4" s="7"/>
      <c r="V4" s="172"/>
      <c r="W4" s="7"/>
      <c r="X4" s="7"/>
      <c r="Z4" s="171" t="s">
        <v>217</v>
      </c>
      <c r="AA4" s="7"/>
      <c r="AB4" s="7"/>
      <c r="AC4" s="7"/>
      <c r="AD4" s="7"/>
      <c r="AE4" s="7"/>
      <c r="AF4" s="7"/>
      <c r="AG4" s="7"/>
      <c r="AH4" s="7"/>
      <c r="AI4" s="7"/>
      <c r="AJ4" s="7"/>
      <c r="AK4" s="7"/>
      <c r="AL4" s="7"/>
      <c r="AM4" s="7"/>
      <c r="AN4" s="7"/>
      <c r="AO4" s="7"/>
      <c r="AP4" s="7"/>
      <c r="AQ4" s="7"/>
      <c r="AR4" s="7"/>
    </row>
    <row r="5" spans="1:44">
      <c r="A5" s="7"/>
      <c r="B5" s="170"/>
      <c r="C5" s="7"/>
      <c r="D5" s="7"/>
      <c r="E5" s="7"/>
      <c r="F5" s="7"/>
      <c r="G5" s="7"/>
      <c r="H5" s="7"/>
      <c r="I5" s="7"/>
      <c r="J5" s="7"/>
      <c r="K5" s="7"/>
      <c r="L5" s="7"/>
      <c r="M5" s="7"/>
      <c r="N5" s="7"/>
      <c r="O5" s="7"/>
      <c r="P5" s="7"/>
      <c r="Q5" s="7"/>
      <c r="R5" s="7"/>
      <c r="S5" s="7"/>
      <c r="T5" s="7"/>
      <c r="U5" s="7"/>
      <c r="V5" s="172"/>
      <c r="W5" s="7"/>
      <c r="X5" s="7"/>
      <c r="Y5" s="7"/>
      <c r="Z5" s="7"/>
      <c r="AA5" s="7"/>
      <c r="AB5" s="7"/>
      <c r="AC5" s="7"/>
      <c r="AD5" s="7"/>
      <c r="AE5" s="7"/>
      <c r="AF5" s="7"/>
      <c r="AG5" s="7"/>
      <c r="AH5" s="7"/>
      <c r="AI5" s="7"/>
      <c r="AJ5" s="7"/>
      <c r="AK5" s="7"/>
      <c r="AL5" s="7"/>
      <c r="AM5" s="7"/>
      <c r="AN5" s="7"/>
      <c r="AO5" s="7"/>
      <c r="AP5" s="7"/>
      <c r="AQ5" s="7"/>
      <c r="AR5" s="7"/>
    </row>
    <row r="6" spans="1:44">
      <c r="A6" s="7"/>
      <c r="B6" s="170"/>
      <c r="C6" s="7"/>
      <c r="D6" s="7"/>
      <c r="E6" s="7"/>
      <c r="F6" s="7"/>
      <c r="G6" s="7"/>
      <c r="H6" s="7"/>
      <c r="I6" s="7"/>
      <c r="J6" s="7"/>
      <c r="K6" s="7"/>
      <c r="L6" s="7"/>
      <c r="M6" s="7"/>
      <c r="N6" s="7"/>
      <c r="O6" s="7"/>
      <c r="P6" s="7"/>
      <c r="Q6" s="7"/>
      <c r="R6" s="7"/>
      <c r="S6" s="7"/>
      <c r="T6" s="7"/>
      <c r="U6" s="7"/>
      <c r="V6" s="172"/>
      <c r="W6" s="7"/>
      <c r="X6" s="7"/>
      <c r="Y6" s="7"/>
      <c r="Z6" s="7"/>
      <c r="AA6" s="7"/>
      <c r="AB6" s="7"/>
      <c r="AC6" s="7"/>
      <c r="AD6" s="7"/>
      <c r="AE6" s="7"/>
      <c r="AF6" s="7"/>
      <c r="AG6" s="7"/>
      <c r="AH6" s="7"/>
      <c r="AI6" s="7"/>
      <c r="AJ6" s="7"/>
      <c r="AK6" s="7"/>
      <c r="AL6" s="7"/>
      <c r="AM6" s="7"/>
      <c r="AN6" s="7"/>
      <c r="AO6" s="7"/>
      <c r="AP6" s="7"/>
      <c r="AQ6" s="7"/>
      <c r="AR6" s="7"/>
    </row>
    <row r="7" spans="1:44">
      <c r="A7" s="7"/>
      <c r="B7" s="170"/>
      <c r="C7" s="7"/>
      <c r="D7" s="7"/>
      <c r="E7" s="7"/>
      <c r="F7" s="7"/>
      <c r="G7" s="7"/>
      <c r="H7" s="7"/>
      <c r="I7" s="7"/>
      <c r="J7" s="7"/>
      <c r="K7" s="7"/>
      <c r="L7" s="7"/>
      <c r="M7" s="7"/>
      <c r="N7" s="7"/>
      <c r="O7" s="7"/>
      <c r="P7" s="7"/>
      <c r="Q7" s="7"/>
      <c r="R7" s="7"/>
      <c r="S7" s="7"/>
      <c r="T7" s="7"/>
      <c r="U7" s="7"/>
      <c r="V7" s="172"/>
      <c r="W7" s="7"/>
      <c r="X7" s="7"/>
      <c r="Y7" s="7"/>
      <c r="Z7" s="7"/>
      <c r="AA7" s="7"/>
      <c r="AB7" s="7"/>
      <c r="AC7" s="7"/>
      <c r="AD7" s="7"/>
      <c r="AE7" s="7"/>
      <c r="AF7" s="7"/>
      <c r="AG7" s="7"/>
      <c r="AH7" s="7"/>
      <c r="AI7" s="7"/>
      <c r="AJ7" s="7"/>
      <c r="AK7" s="7"/>
      <c r="AL7" s="7"/>
      <c r="AM7" s="7"/>
      <c r="AN7" s="7"/>
      <c r="AO7" s="7"/>
      <c r="AP7" s="7"/>
      <c r="AQ7" s="7"/>
      <c r="AR7" s="7"/>
    </row>
    <row r="8" spans="1:44">
      <c r="A8" s="7"/>
      <c r="B8" s="170"/>
      <c r="C8" s="7"/>
      <c r="D8" s="7"/>
      <c r="E8" s="7"/>
      <c r="F8" s="7"/>
      <c r="G8" s="7"/>
      <c r="H8" s="7"/>
      <c r="I8" s="7"/>
      <c r="J8" s="7"/>
      <c r="K8" s="7"/>
      <c r="L8" s="7"/>
      <c r="M8" s="7"/>
      <c r="N8" s="7"/>
      <c r="O8" s="7"/>
      <c r="P8" s="7"/>
      <c r="Q8" s="7"/>
      <c r="R8" s="7"/>
      <c r="S8" s="7"/>
      <c r="T8" s="7"/>
      <c r="U8" s="7"/>
      <c r="V8" s="172"/>
      <c r="W8" s="7"/>
      <c r="X8" s="7"/>
      <c r="Y8" s="7"/>
      <c r="Z8" s="7"/>
      <c r="AA8" s="7"/>
      <c r="AB8" s="7"/>
      <c r="AC8" s="7"/>
      <c r="AD8" s="7"/>
      <c r="AE8" s="7"/>
      <c r="AF8" s="7"/>
      <c r="AG8" s="7"/>
      <c r="AH8" s="7"/>
      <c r="AI8" s="7"/>
      <c r="AJ8" s="7"/>
      <c r="AK8" s="7"/>
      <c r="AL8" s="7"/>
      <c r="AM8" s="7"/>
      <c r="AN8" s="7"/>
      <c r="AO8" s="7"/>
      <c r="AP8" s="7"/>
      <c r="AQ8" s="7"/>
      <c r="AR8" s="7"/>
    </row>
    <row r="9" spans="1:44">
      <c r="A9" s="7"/>
      <c r="B9" s="170"/>
      <c r="C9" s="7"/>
      <c r="D9" s="7"/>
      <c r="E9" s="7"/>
      <c r="F9" s="7"/>
      <c r="G9" s="7"/>
      <c r="H9" s="7"/>
      <c r="I9" s="7"/>
      <c r="J9" s="7"/>
      <c r="K9" s="7"/>
      <c r="L9" s="7"/>
      <c r="M9" s="7"/>
      <c r="N9" s="7"/>
      <c r="O9" s="7"/>
      <c r="P9" s="7"/>
      <c r="Q9" s="7"/>
      <c r="R9" s="7"/>
      <c r="S9" s="7"/>
      <c r="T9" s="7"/>
      <c r="U9" s="7"/>
      <c r="V9" s="172"/>
      <c r="W9" s="7"/>
      <c r="X9" s="7"/>
      <c r="Y9" s="7"/>
      <c r="Z9" s="7"/>
      <c r="AA9" s="7"/>
      <c r="AB9" s="7"/>
      <c r="AC9" s="7"/>
      <c r="AD9" s="7"/>
      <c r="AE9" s="7"/>
      <c r="AF9" s="7"/>
      <c r="AG9" s="7"/>
      <c r="AH9" s="7"/>
      <c r="AI9" s="7"/>
      <c r="AJ9" s="7"/>
      <c r="AK9" s="7"/>
      <c r="AL9" s="7"/>
      <c r="AM9" s="7"/>
      <c r="AN9" s="7"/>
      <c r="AO9" s="7"/>
      <c r="AP9" s="7"/>
      <c r="AQ9" s="7"/>
      <c r="AR9" s="7"/>
    </row>
    <row r="10" spans="1:44">
      <c r="A10" s="7"/>
      <c r="B10" s="170"/>
      <c r="C10" s="7"/>
      <c r="D10" s="7"/>
      <c r="E10" s="7"/>
      <c r="F10" s="7"/>
      <c r="G10" s="7"/>
      <c r="H10" s="7"/>
      <c r="I10" s="7"/>
      <c r="J10" s="7"/>
      <c r="K10" s="7"/>
      <c r="L10" s="7"/>
      <c r="M10" s="7"/>
      <c r="N10" s="7"/>
      <c r="O10" s="7"/>
      <c r="P10" s="7"/>
      <c r="Q10" s="7"/>
      <c r="R10" s="7"/>
      <c r="S10" s="7"/>
      <c r="T10" s="7"/>
      <c r="U10" s="7"/>
      <c r="V10" s="172"/>
      <c r="W10" s="7"/>
      <c r="X10" s="7"/>
      <c r="Y10" s="7"/>
      <c r="Z10" s="7"/>
      <c r="AA10" s="7"/>
      <c r="AB10" s="7"/>
      <c r="AC10" s="7"/>
      <c r="AD10" s="7"/>
      <c r="AE10" s="7"/>
      <c r="AF10" s="7"/>
      <c r="AG10" s="7"/>
      <c r="AH10" s="7"/>
      <c r="AI10" s="7"/>
      <c r="AJ10" s="7"/>
      <c r="AK10" s="7"/>
      <c r="AL10" s="7"/>
      <c r="AM10" s="7"/>
      <c r="AN10" s="7"/>
      <c r="AO10" s="7"/>
      <c r="AP10" s="7"/>
      <c r="AQ10" s="7"/>
      <c r="AR10" s="7"/>
    </row>
    <row r="11" spans="1:44">
      <c r="A11" s="7"/>
      <c r="B11" s="170"/>
      <c r="C11" s="7"/>
      <c r="D11" s="7"/>
      <c r="E11" s="7"/>
      <c r="F11" s="7"/>
      <c r="G11" s="7"/>
      <c r="H11" s="7"/>
      <c r="I11" s="7"/>
      <c r="J11" s="7"/>
      <c r="K11" s="7"/>
      <c r="L11" s="7"/>
      <c r="M11" s="7"/>
      <c r="N11" s="7"/>
      <c r="O11" s="7"/>
      <c r="P11" s="7"/>
      <c r="Q11" s="7"/>
      <c r="R11" s="7"/>
      <c r="S11" s="7"/>
      <c r="T11" s="7"/>
      <c r="U11" s="7"/>
      <c r="V11" s="172"/>
      <c r="W11" s="7"/>
      <c r="X11" s="7"/>
      <c r="Y11" s="7"/>
      <c r="Z11" s="7"/>
      <c r="AA11" s="7"/>
      <c r="AB11" s="7"/>
      <c r="AC11" s="7"/>
      <c r="AD11" s="7"/>
      <c r="AE11" s="7"/>
      <c r="AF11" s="7"/>
      <c r="AG11" s="7"/>
      <c r="AH11" s="7"/>
      <c r="AI11" s="7"/>
      <c r="AJ11" s="7"/>
      <c r="AK11" s="7"/>
      <c r="AL11" s="7"/>
      <c r="AM11" s="7"/>
      <c r="AN11" s="7"/>
      <c r="AO11" s="7"/>
      <c r="AP11" s="7"/>
      <c r="AQ11" s="7"/>
      <c r="AR11" s="7"/>
    </row>
    <row r="12" spans="1:44">
      <c r="A12" s="7"/>
      <c r="B12" s="170"/>
      <c r="C12" s="7"/>
      <c r="D12" s="7"/>
      <c r="E12" s="7"/>
      <c r="F12" s="7"/>
      <c r="G12" s="7"/>
      <c r="H12" s="7"/>
      <c r="I12" s="7"/>
      <c r="J12" s="7"/>
      <c r="K12" s="7"/>
      <c r="L12" s="7"/>
      <c r="M12" s="7"/>
      <c r="N12" s="7"/>
      <c r="O12" s="7"/>
      <c r="P12" s="7"/>
      <c r="Q12" s="7"/>
      <c r="R12" s="7"/>
      <c r="S12" s="7"/>
      <c r="T12" s="7"/>
      <c r="U12" s="7"/>
      <c r="V12" s="172"/>
      <c r="W12" s="7"/>
      <c r="X12" s="7"/>
      <c r="Y12" s="7"/>
      <c r="Z12" s="7"/>
      <c r="AA12" s="7"/>
      <c r="AB12" s="7"/>
      <c r="AC12" s="7"/>
      <c r="AD12" s="7"/>
      <c r="AE12" s="7"/>
      <c r="AF12" s="7"/>
      <c r="AG12" s="7"/>
      <c r="AH12" s="7"/>
      <c r="AI12" s="7"/>
      <c r="AJ12" s="7"/>
      <c r="AK12" s="7"/>
      <c r="AL12" s="7"/>
      <c r="AM12" s="7"/>
      <c r="AN12" s="7"/>
      <c r="AO12" s="7"/>
      <c r="AP12" s="7"/>
      <c r="AQ12" s="7"/>
      <c r="AR12" s="7"/>
    </row>
    <row r="13" spans="1:44">
      <c r="A13" s="7"/>
      <c r="B13" s="170"/>
      <c r="C13" s="7"/>
      <c r="D13" s="7"/>
      <c r="E13" s="7"/>
      <c r="F13" s="7"/>
      <c r="G13" s="7"/>
      <c r="H13" s="7"/>
      <c r="I13" s="7"/>
      <c r="J13" s="7"/>
      <c r="K13" s="7"/>
      <c r="L13" s="7"/>
      <c r="M13" s="7"/>
      <c r="N13" s="7"/>
      <c r="O13" s="7"/>
      <c r="P13" s="7"/>
      <c r="Q13" s="7"/>
      <c r="R13" s="7"/>
      <c r="S13" s="7"/>
      <c r="T13" s="7"/>
      <c r="U13" s="7"/>
      <c r="V13" s="172"/>
      <c r="W13" s="7"/>
      <c r="X13" s="7"/>
      <c r="Y13" s="7"/>
      <c r="Z13" s="7"/>
      <c r="AA13" s="7"/>
      <c r="AB13" s="7"/>
      <c r="AC13" s="7"/>
      <c r="AD13" s="7"/>
      <c r="AE13" s="7"/>
      <c r="AF13" s="7"/>
      <c r="AG13" s="7"/>
      <c r="AH13" s="7"/>
      <c r="AI13" s="7"/>
      <c r="AJ13" s="7"/>
      <c r="AK13" s="7"/>
      <c r="AL13" s="7"/>
      <c r="AM13" s="7"/>
      <c r="AN13" s="7"/>
      <c r="AO13" s="7"/>
      <c r="AP13" s="7"/>
      <c r="AQ13" s="7"/>
      <c r="AR13" s="7"/>
    </row>
    <row r="14" spans="1:44">
      <c r="A14" s="7"/>
      <c r="B14" s="170"/>
      <c r="C14" s="7"/>
      <c r="D14" s="7"/>
      <c r="E14" s="7"/>
      <c r="F14" s="7"/>
      <c r="G14" s="7"/>
      <c r="H14" s="7"/>
      <c r="I14" s="7"/>
      <c r="J14" s="7"/>
      <c r="K14" s="7"/>
      <c r="L14" s="7"/>
      <c r="M14" s="7"/>
      <c r="N14" s="7"/>
      <c r="O14" s="7"/>
      <c r="P14" s="7"/>
      <c r="Q14" s="7"/>
      <c r="R14" s="7"/>
      <c r="S14" s="7"/>
      <c r="T14" s="7"/>
      <c r="U14" s="7"/>
      <c r="V14" s="172"/>
      <c r="W14" s="7"/>
      <c r="X14" s="7"/>
      <c r="Y14" s="7"/>
      <c r="Z14" s="7"/>
      <c r="AA14" s="7"/>
      <c r="AB14" s="7"/>
      <c r="AC14" s="7"/>
      <c r="AD14" s="7"/>
      <c r="AE14" s="7"/>
      <c r="AF14" s="7"/>
      <c r="AG14" s="7"/>
      <c r="AH14" s="7"/>
      <c r="AI14" s="7"/>
      <c r="AJ14" s="7"/>
      <c r="AK14" s="7"/>
      <c r="AL14" s="7"/>
      <c r="AM14" s="7"/>
      <c r="AN14" s="7"/>
      <c r="AO14" s="7"/>
      <c r="AP14" s="7"/>
      <c r="AQ14" s="7"/>
      <c r="AR14" s="7"/>
    </row>
    <row r="15" spans="1:44">
      <c r="A15" s="7"/>
      <c r="B15" s="170"/>
      <c r="C15" s="7"/>
      <c r="D15" s="7"/>
      <c r="E15" s="7"/>
      <c r="F15" s="7"/>
      <c r="G15" s="7"/>
      <c r="H15" s="7"/>
      <c r="I15" s="7"/>
      <c r="J15" s="7"/>
      <c r="K15" s="7"/>
      <c r="L15" s="7"/>
      <c r="M15" s="7"/>
      <c r="N15" s="7"/>
      <c r="O15" s="7"/>
      <c r="P15" s="7"/>
      <c r="Q15" s="7"/>
      <c r="R15" s="7"/>
      <c r="S15" s="7"/>
      <c r="T15" s="7"/>
      <c r="U15" s="7"/>
      <c r="V15" s="172"/>
      <c r="W15" s="7"/>
      <c r="X15" s="7"/>
      <c r="Y15" s="7"/>
      <c r="Z15" s="7"/>
      <c r="AA15" s="7"/>
      <c r="AB15" s="7"/>
      <c r="AC15" s="7"/>
      <c r="AD15" s="7"/>
      <c r="AE15" s="7"/>
      <c r="AF15" s="7"/>
      <c r="AG15" s="7"/>
      <c r="AH15" s="7"/>
      <c r="AI15" s="7"/>
      <c r="AJ15" s="7"/>
      <c r="AK15" s="7"/>
      <c r="AL15" s="7"/>
      <c r="AM15" s="7"/>
      <c r="AN15" s="7"/>
      <c r="AO15" s="7"/>
      <c r="AP15" s="7"/>
      <c r="AQ15" s="7"/>
      <c r="AR15" s="7"/>
    </row>
    <row r="16" spans="1:44">
      <c r="A16" s="7"/>
      <c r="B16" s="170"/>
      <c r="C16" s="7"/>
      <c r="D16" s="7"/>
      <c r="E16" s="7"/>
      <c r="F16" s="7"/>
      <c r="G16" s="7"/>
      <c r="H16" s="7"/>
      <c r="I16" s="7"/>
      <c r="J16" s="7"/>
      <c r="K16" s="7"/>
      <c r="L16" s="7"/>
      <c r="M16" s="7"/>
      <c r="N16" s="7"/>
      <c r="O16" s="7"/>
      <c r="P16" s="7"/>
      <c r="Q16" s="7"/>
      <c r="R16" s="7"/>
      <c r="S16" s="7"/>
      <c r="T16" s="7"/>
      <c r="U16" s="7"/>
      <c r="V16" s="172"/>
      <c r="W16" s="7"/>
      <c r="X16" s="7"/>
      <c r="Y16" s="7"/>
      <c r="Z16" s="7"/>
      <c r="AA16" s="7"/>
      <c r="AB16" s="7"/>
      <c r="AC16" s="7"/>
      <c r="AD16" s="7"/>
      <c r="AE16" s="7"/>
      <c r="AF16" s="7"/>
      <c r="AG16" s="7"/>
      <c r="AH16" s="7"/>
      <c r="AI16" s="7"/>
      <c r="AJ16" s="7"/>
      <c r="AK16" s="7"/>
      <c r="AL16" s="7"/>
      <c r="AM16" s="7"/>
      <c r="AN16" s="7"/>
      <c r="AO16" s="7"/>
      <c r="AP16" s="7"/>
      <c r="AQ16" s="7"/>
      <c r="AR16" s="7"/>
    </row>
    <row r="17" spans="1:44">
      <c r="A17" s="7"/>
      <c r="B17" s="170"/>
      <c r="C17" s="7"/>
      <c r="D17" s="7"/>
      <c r="E17" s="7"/>
      <c r="F17" s="7"/>
      <c r="G17" s="7"/>
      <c r="H17" s="7"/>
      <c r="I17" s="7"/>
      <c r="J17" s="7"/>
      <c r="K17" s="7"/>
      <c r="L17" s="7"/>
      <c r="M17" s="7"/>
      <c r="N17" s="7"/>
      <c r="O17" s="7"/>
      <c r="P17" s="7"/>
      <c r="Q17" s="7"/>
      <c r="R17" s="7"/>
      <c r="S17" s="7"/>
      <c r="T17" s="7"/>
      <c r="U17" s="7"/>
      <c r="V17" s="172"/>
      <c r="W17" s="7"/>
      <c r="X17" s="7"/>
      <c r="Y17" s="7"/>
      <c r="Z17" s="7"/>
      <c r="AA17" s="7"/>
      <c r="AB17" s="7"/>
      <c r="AC17" s="7"/>
      <c r="AD17" s="7"/>
      <c r="AE17" s="7"/>
      <c r="AF17" s="7"/>
      <c r="AG17" s="7"/>
      <c r="AH17" s="7"/>
      <c r="AI17" s="7"/>
      <c r="AJ17" s="7"/>
      <c r="AK17" s="7"/>
      <c r="AL17" s="7"/>
      <c r="AM17" s="7"/>
      <c r="AN17" s="7"/>
      <c r="AO17" s="7"/>
      <c r="AP17" s="7"/>
      <c r="AQ17" s="7"/>
      <c r="AR17" s="7"/>
    </row>
    <row r="18" spans="1:44">
      <c r="A18" s="7"/>
      <c r="B18" s="170"/>
      <c r="C18" s="7"/>
      <c r="D18" s="7"/>
      <c r="E18" s="7"/>
      <c r="F18" s="7"/>
      <c r="G18" s="7"/>
      <c r="H18" s="7"/>
      <c r="I18" s="7"/>
      <c r="J18" s="7"/>
      <c r="K18" s="7"/>
      <c r="L18" s="7"/>
      <c r="M18" s="7"/>
      <c r="N18" s="7"/>
      <c r="O18" s="7"/>
      <c r="P18" s="7"/>
      <c r="Q18" s="7"/>
      <c r="R18" s="7"/>
      <c r="S18" s="7"/>
      <c r="T18" s="7"/>
      <c r="U18" s="7"/>
      <c r="V18" s="172"/>
      <c r="W18" s="7"/>
      <c r="X18" s="7"/>
      <c r="Y18" s="7"/>
      <c r="Z18" s="7"/>
      <c r="AA18" s="7"/>
      <c r="AB18" s="7"/>
      <c r="AC18" s="7"/>
      <c r="AD18" s="7"/>
      <c r="AE18" s="7"/>
      <c r="AF18" s="7"/>
      <c r="AG18" s="7"/>
      <c r="AH18" s="7"/>
      <c r="AI18" s="7"/>
      <c r="AJ18" s="7"/>
      <c r="AK18" s="7"/>
      <c r="AL18" s="7"/>
      <c r="AM18" s="7"/>
      <c r="AN18" s="7"/>
      <c r="AO18" s="7"/>
      <c r="AP18" s="7"/>
      <c r="AQ18" s="7"/>
      <c r="AR18" s="7"/>
    </row>
    <row r="19" spans="1:44">
      <c r="A19" s="7"/>
      <c r="B19" s="170"/>
      <c r="C19" s="7"/>
      <c r="D19" s="7"/>
      <c r="E19" s="7"/>
      <c r="F19" s="7"/>
      <c r="G19" s="7"/>
      <c r="H19" s="7"/>
      <c r="I19" s="7"/>
      <c r="J19" s="7"/>
      <c r="K19" s="7"/>
      <c r="L19" s="7"/>
      <c r="M19" s="7"/>
      <c r="N19" s="7"/>
      <c r="O19" s="7"/>
      <c r="P19" s="7"/>
      <c r="Q19" s="7"/>
      <c r="R19" s="7"/>
      <c r="S19" s="7"/>
      <c r="T19" s="7"/>
      <c r="U19" s="7"/>
      <c r="V19" s="172"/>
      <c r="W19" s="7"/>
      <c r="X19" s="7"/>
      <c r="Y19" s="7"/>
      <c r="Z19" s="7"/>
      <c r="AA19" s="7"/>
      <c r="AB19" s="7"/>
      <c r="AC19" s="7"/>
      <c r="AD19" s="7"/>
      <c r="AE19" s="7"/>
      <c r="AF19" s="7"/>
      <c r="AG19" s="7"/>
      <c r="AH19" s="7"/>
      <c r="AI19" s="7"/>
      <c r="AJ19" s="7"/>
      <c r="AK19" s="7"/>
      <c r="AL19" s="7"/>
      <c r="AM19" s="7"/>
      <c r="AN19" s="7"/>
      <c r="AO19" s="7"/>
      <c r="AP19" s="7"/>
      <c r="AQ19" s="7"/>
      <c r="AR19" s="7"/>
    </row>
    <row r="20" spans="1:44">
      <c r="A20" s="7"/>
      <c r="B20" s="170"/>
      <c r="C20" s="7"/>
      <c r="D20" s="7"/>
      <c r="E20" s="7"/>
      <c r="F20" s="7"/>
      <c r="G20" s="7"/>
      <c r="H20" s="7"/>
      <c r="I20" s="7"/>
      <c r="J20" s="7"/>
      <c r="K20" s="7"/>
      <c r="L20" s="7"/>
      <c r="M20" s="7"/>
      <c r="N20" s="7"/>
      <c r="O20" s="7"/>
      <c r="P20" s="7"/>
      <c r="Q20" s="7"/>
      <c r="R20" s="7"/>
      <c r="S20" s="7"/>
      <c r="T20" s="7"/>
      <c r="U20" s="7"/>
      <c r="V20" s="172"/>
      <c r="W20" s="7"/>
      <c r="X20" s="7"/>
      <c r="Y20" s="7"/>
      <c r="Z20" s="7"/>
      <c r="AA20" s="7"/>
      <c r="AB20" s="7"/>
      <c r="AC20" s="7"/>
      <c r="AD20" s="7"/>
      <c r="AE20" s="7"/>
      <c r="AF20" s="7"/>
      <c r="AG20" s="7"/>
      <c r="AH20" s="7"/>
      <c r="AI20" s="7"/>
      <c r="AJ20" s="7"/>
      <c r="AK20" s="7"/>
      <c r="AL20" s="7"/>
      <c r="AM20" s="7"/>
      <c r="AN20" s="7"/>
      <c r="AO20" s="7"/>
      <c r="AP20" s="7"/>
      <c r="AQ20" s="7"/>
      <c r="AR20" s="7"/>
    </row>
    <row r="21" spans="1:44">
      <c r="A21" s="7"/>
      <c r="B21" s="170"/>
      <c r="C21" s="7"/>
      <c r="D21" s="7"/>
      <c r="E21" s="7"/>
      <c r="F21" s="7"/>
      <c r="G21" s="7"/>
      <c r="H21" s="7"/>
      <c r="I21" s="7"/>
      <c r="J21" s="7"/>
      <c r="K21" s="7"/>
      <c r="L21" s="7"/>
      <c r="M21" s="7"/>
      <c r="N21" s="7"/>
      <c r="O21" s="7"/>
      <c r="P21" s="7"/>
      <c r="Q21" s="7"/>
      <c r="R21" s="7"/>
      <c r="S21" s="7"/>
      <c r="T21" s="7"/>
      <c r="U21" s="7"/>
      <c r="V21" s="172"/>
      <c r="W21" s="7"/>
      <c r="X21" s="7"/>
      <c r="Y21" s="7"/>
      <c r="Z21" s="7"/>
      <c r="AA21" s="7"/>
      <c r="AB21" s="7"/>
      <c r="AC21" s="7"/>
      <c r="AD21" s="7"/>
      <c r="AE21" s="7"/>
      <c r="AF21" s="7"/>
      <c r="AG21" s="7"/>
      <c r="AH21" s="7"/>
      <c r="AI21" s="7"/>
      <c r="AJ21" s="7"/>
      <c r="AK21" s="7"/>
      <c r="AL21" s="7"/>
      <c r="AM21" s="7"/>
      <c r="AN21" s="7"/>
      <c r="AO21" s="7"/>
      <c r="AP21" s="7"/>
      <c r="AQ21" s="7"/>
      <c r="AR21" s="7"/>
    </row>
    <row r="22" spans="1:44">
      <c r="A22" s="7"/>
      <c r="B22" s="170"/>
      <c r="C22" s="7"/>
      <c r="D22" s="7"/>
      <c r="E22" s="7"/>
      <c r="F22" s="7"/>
      <c r="G22" s="7"/>
      <c r="H22" s="7"/>
      <c r="I22" s="7"/>
      <c r="J22" s="7"/>
      <c r="K22" s="7"/>
      <c r="L22" s="7"/>
      <c r="M22" s="7"/>
      <c r="N22" s="7"/>
      <c r="O22" s="7"/>
      <c r="P22" s="7"/>
      <c r="Q22" s="7"/>
      <c r="R22" s="7"/>
      <c r="S22" s="7"/>
      <c r="T22" s="7"/>
      <c r="U22" s="7"/>
      <c r="V22" s="172"/>
      <c r="W22" s="7"/>
      <c r="X22" s="7"/>
      <c r="Y22" s="7"/>
      <c r="Z22" s="7"/>
      <c r="AA22" s="7"/>
      <c r="AB22" s="7"/>
      <c r="AC22" s="7"/>
      <c r="AD22" s="7"/>
      <c r="AE22" s="7"/>
      <c r="AF22" s="7"/>
      <c r="AG22" s="7"/>
      <c r="AH22" s="7"/>
      <c r="AI22" s="7"/>
      <c r="AJ22" s="7"/>
      <c r="AK22" s="7"/>
      <c r="AL22" s="7"/>
      <c r="AM22" s="7"/>
      <c r="AN22" s="7"/>
      <c r="AO22" s="7"/>
      <c r="AP22" s="7"/>
      <c r="AQ22" s="7"/>
      <c r="AR22" s="7"/>
    </row>
    <row r="23" spans="1:44">
      <c r="A23" s="7"/>
      <c r="B23" s="170"/>
      <c r="C23" s="7"/>
      <c r="D23" s="7"/>
      <c r="E23" s="7"/>
      <c r="F23" s="7"/>
      <c r="G23" s="7"/>
      <c r="H23" s="7"/>
      <c r="I23" s="7"/>
      <c r="J23" s="7"/>
      <c r="K23" s="7"/>
      <c r="L23" s="7"/>
      <c r="M23" s="7"/>
      <c r="N23" s="7"/>
      <c r="O23" s="7"/>
      <c r="P23" s="7"/>
      <c r="Q23" s="7"/>
      <c r="R23" s="7"/>
      <c r="S23" s="7"/>
      <c r="T23" s="7"/>
      <c r="U23" s="7"/>
      <c r="V23" s="172"/>
      <c r="W23" s="7"/>
      <c r="X23" s="7"/>
      <c r="Y23" s="7"/>
      <c r="Z23" s="7"/>
      <c r="AA23" s="7"/>
      <c r="AB23" s="7"/>
      <c r="AC23" s="7"/>
      <c r="AD23" s="7"/>
      <c r="AE23" s="7"/>
      <c r="AF23" s="7"/>
      <c r="AG23" s="7"/>
      <c r="AH23" s="7"/>
      <c r="AI23" s="7"/>
      <c r="AJ23" s="7"/>
      <c r="AK23" s="7"/>
      <c r="AL23" s="7"/>
      <c r="AM23" s="7"/>
      <c r="AN23" s="7"/>
      <c r="AO23" s="7"/>
      <c r="AP23" s="7"/>
      <c r="AQ23" s="7"/>
      <c r="AR23" s="7"/>
    </row>
    <row r="24" spans="1:44">
      <c r="A24" s="7"/>
      <c r="B24" s="170"/>
      <c r="C24" s="7"/>
      <c r="D24" s="7"/>
      <c r="E24" s="7"/>
      <c r="F24" s="7"/>
      <c r="G24" s="7"/>
      <c r="H24" s="7"/>
      <c r="I24" s="7"/>
      <c r="J24" s="7"/>
      <c r="K24" s="7"/>
      <c r="L24" s="7"/>
      <c r="M24" s="7"/>
      <c r="N24" s="7"/>
      <c r="O24" s="7"/>
      <c r="P24" s="7"/>
      <c r="Q24" s="7"/>
      <c r="R24" s="7"/>
      <c r="S24" s="7"/>
      <c r="T24" s="7"/>
      <c r="U24" s="7"/>
      <c r="V24" s="172"/>
      <c r="W24" s="7"/>
      <c r="X24" s="7"/>
      <c r="Y24" s="7"/>
      <c r="Z24" s="7"/>
      <c r="AA24" s="7"/>
      <c r="AB24" s="7"/>
      <c r="AC24" s="7"/>
      <c r="AD24" s="7"/>
      <c r="AE24" s="7"/>
      <c r="AF24" s="7"/>
      <c r="AG24" s="7"/>
      <c r="AH24" s="7"/>
      <c r="AI24" s="7"/>
      <c r="AJ24" s="7"/>
      <c r="AK24" s="7"/>
      <c r="AL24" s="7"/>
      <c r="AM24" s="7"/>
      <c r="AN24" s="7"/>
      <c r="AO24" s="7"/>
      <c r="AP24" s="7"/>
      <c r="AQ24" s="7"/>
      <c r="AR24" s="7"/>
    </row>
    <row r="25" spans="1:44">
      <c r="A25" s="7"/>
      <c r="B25" s="173"/>
      <c r="C25" s="174"/>
      <c r="D25" s="174"/>
      <c r="E25" s="174"/>
      <c r="F25" s="174"/>
      <c r="G25" s="174"/>
      <c r="H25" s="174"/>
      <c r="I25" s="174"/>
      <c r="J25" s="174"/>
      <c r="K25" s="174"/>
      <c r="L25" s="174"/>
      <c r="M25" s="174"/>
      <c r="N25" s="174"/>
      <c r="O25" s="174"/>
      <c r="P25" s="174"/>
      <c r="Q25" s="174"/>
      <c r="R25" s="174"/>
      <c r="S25" s="174"/>
      <c r="T25" s="174"/>
      <c r="U25" s="174"/>
      <c r="V25" s="175"/>
      <c r="W25" s="7"/>
      <c r="X25" s="7"/>
      <c r="Y25" s="7"/>
      <c r="Z25" s="7"/>
      <c r="AA25" s="7"/>
      <c r="AB25" s="7"/>
      <c r="AC25" s="7"/>
      <c r="AD25" s="7"/>
      <c r="AE25" s="7"/>
      <c r="AF25" s="7"/>
      <c r="AG25" s="7"/>
      <c r="AH25" s="7"/>
      <c r="AI25" s="7"/>
      <c r="AJ25" s="7"/>
      <c r="AK25" s="7"/>
      <c r="AL25" s="7"/>
      <c r="AM25" s="7"/>
      <c r="AN25" s="7"/>
      <c r="AO25" s="7"/>
      <c r="AP25" s="7"/>
      <c r="AQ25" s="7"/>
      <c r="AR25" s="7"/>
    </row>
    <row r="26" spans="1:44">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c r="A28" s="7"/>
      <c r="B28" s="7"/>
      <c r="C28" s="7"/>
      <c r="D28" s="7"/>
      <c r="E28" s="7"/>
      <c r="F28" s="7"/>
      <c r="H28" s="7"/>
      <c r="I28" s="7"/>
      <c r="J28" s="7"/>
      <c r="K28" s="7"/>
      <c r="L28" s="7"/>
      <c r="M28" s="7"/>
      <c r="N28" s="7"/>
      <c r="O28" s="7"/>
      <c r="P28" s="7"/>
      <c r="Q28" s="7"/>
      <c r="R28" s="7"/>
      <c r="S28" s="7"/>
      <c r="T28" s="7"/>
      <c r="U28" s="7"/>
      <c r="V28" s="7"/>
      <c r="W28" s="7"/>
      <c r="X28" s="7"/>
      <c r="Y28" s="7"/>
      <c r="Z28" s="7"/>
      <c r="AA28" s="7"/>
      <c r="AB28" s="7"/>
      <c r="AC28" s="7"/>
      <c r="AD28" s="7"/>
      <c r="AE28" s="7"/>
    </row>
    <row r="29" spans="1:44">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row>
    <row r="30" spans="1:44">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row>
    <row r="31" spans="1:44" ht="25.8">
      <c r="A31" s="7"/>
      <c r="B31" s="7"/>
      <c r="C31" s="7"/>
      <c r="D31" s="7"/>
      <c r="E31" s="7"/>
      <c r="F31" s="7"/>
      <c r="G31" s="182"/>
      <c r="H31" s="182" t="s">
        <v>218</v>
      </c>
      <c r="I31" s="182"/>
      <c r="J31" s="182"/>
      <c r="K31" s="182"/>
      <c r="L31" s="182"/>
      <c r="M31" s="182"/>
      <c r="N31" s="182" t="s">
        <v>219</v>
      </c>
      <c r="O31" s="182"/>
      <c r="P31" s="182"/>
      <c r="Q31" s="182"/>
      <c r="R31" s="182" t="s">
        <v>220</v>
      </c>
      <c r="S31" s="182"/>
      <c r="T31" s="182"/>
      <c r="U31" s="182"/>
      <c r="V31" s="182"/>
      <c r="W31" s="182" t="s">
        <v>221</v>
      </c>
      <c r="X31" s="182"/>
      <c r="Y31" s="7"/>
      <c r="Z31" s="7"/>
      <c r="AA31" s="7"/>
      <c r="AB31" s="7"/>
      <c r="AC31" s="7"/>
      <c r="AD31" s="7"/>
      <c r="AE31" s="7"/>
    </row>
    <row r="32" spans="1:44">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row>
    <row r="33" spans="1:33">
      <c r="A33" s="7"/>
      <c r="B33" s="7"/>
      <c r="C33" s="7"/>
      <c r="D33" s="7"/>
      <c r="E33" s="7"/>
      <c r="F33" s="7"/>
      <c r="G33" s="7"/>
      <c r="H33" s="7"/>
      <c r="I33" s="7"/>
      <c r="J33" s="7"/>
      <c r="K33" s="7"/>
      <c r="L33" s="7"/>
      <c r="M33" s="7"/>
      <c r="N33" s="7"/>
      <c r="O33" s="7"/>
      <c r="P33" s="7"/>
      <c r="Q33" s="7"/>
      <c r="R33" s="7"/>
      <c r="S33" s="7"/>
      <c r="T33" s="7"/>
      <c r="U33" s="7"/>
      <c r="V33" s="181"/>
      <c r="W33" s="181"/>
      <c r="X33" s="181"/>
      <c r="Y33" s="181"/>
      <c r="Z33" s="7"/>
      <c r="AA33" s="7"/>
      <c r="AB33" s="7"/>
      <c r="AC33" s="7"/>
      <c r="AD33" s="7"/>
      <c r="AE33" s="7"/>
    </row>
    <row r="34" spans="1:33">
      <c r="A34" s="7"/>
      <c r="B34" s="7"/>
      <c r="C34" s="7"/>
      <c r="D34" s="7"/>
      <c r="E34" s="7"/>
      <c r="F34" s="7"/>
      <c r="G34" s="7"/>
      <c r="H34" s="7"/>
      <c r="I34" s="7"/>
      <c r="J34" s="7"/>
      <c r="K34" s="7"/>
      <c r="L34" s="7"/>
      <c r="M34" s="7"/>
      <c r="N34" s="7"/>
      <c r="O34" s="7"/>
      <c r="P34" s="7"/>
      <c r="Q34" s="7"/>
      <c r="R34" s="7"/>
      <c r="S34" s="7"/>
      <c r="T34" s="7"/>
      <c r="U34" s="7"/>
      <c r="V34" s="181"/>
      <c r="W34" s="181"/>
      <c r="X34" s="181"/>
      <c r="Y34" s="181"/>
      <c r="Z34" s="7"/>
      <c r="AA34" s="7"/>
      <c r="AB34" s="7"/>
      <c r="AC34" s="7"/>
      <c r="AD34" s="7"/>
      <c r="AE34" s="7"/>
    </row>
    <row r="35" spans="1:33" ht="25.8">
      <c r="A35" s="7"/>
      <c r="B35" s="7"/>
      <c r="C35" s="7"/>
      <c r="D35" s="7"/>
      <c r="E35" s="183">
        <v>0</v>
      </c>
      <c r="F35" s="7"/>
      <c r="G35" s="7"/>
      <c r="H35" s="7"/>
      <c r="I35" s="7"/>
      <c r="J35" s="7"/>
      <c r="K35" s="7"/>
      <c r="L35" s="7"/>
      <c r="M35" s="7"/>
      <c r="N35" s="7"/>
      <c r="O35" s="7"/>
      <c r="P35" s="7"/>
      <c r="Q35" s="7"/>
      <c r="R35" s="7"/>
      <c r="S35" s="7"/>
      <c r="T35" s="7"/>
      <c r="U35" s="7"/>
      <c r="V35" s="181"/>
      <c r="W35" s="181"/>
      <c r="X35" s="181"/>
      <c r="Y35" s="181"/>
      <c r="Z35" s="7"/>
      <c r="AA35" s="7"/>
      <c r="AB35" s="7"/>
      <c r="AC35" s="7"/>
      <c r="AD35" s="7"/>
      <c r="AE35" s="7"/>
    </row>
    <row r="36" spans="1:33">
      <c r="A36" s="7"/>
      <c r="B36" s="7"/>
      <c r="C36" s="7"/>
      <c r="D36" s="7"/>
      <c r="E36" s="7"/>
      <c r="F36" s="7"/>
      <c r="G36" s="7"/>
      <c r="H36" s="7"/>
      <c r="I36" s="7"/>
      <c r="J36" s="7"/>
      <c r="K36" s="7"/>
      <c r="L36" s="7"/>
      <c r="M36" s="7"/>
      <c r="N36" s="7"/>
      <c r="O36" s="7"/>
      <c r="P36" s="7"/>
      <c r="Q36" s="7"/>
      <c r="R36" s="7"/>
      <c r="S36" s="7"/>
      <c r="T36" s="7"/>
      <c r="U36" s="7"/>
      <c r="V36" s="181"/>
      <c r="W36" s="181"/>
      <c r="X36" s="181"/>
      <c r="Y36" s="181"/>
      <c r="Z36" s="7"/>
      <c r="AA36" s="7"/>
      <c r="AB36" s="7"/>
      <c r="AC36" s="7"/>
      <c r="AD36" s="7"/>
      <c r="AE36" s="7"/>
    </row>
    <row r="37" spans="1:33">
      <c r="A37" s="7"/>
      <c r="B37" s="7"/>
      <c r="C37" s="7"/>
      <c r="D37" s="7"/>
      <c r="E37" s="7"/>
      <c r="F37" s="7"/>
      <c r="G37" s="7"/>
      <c r="H37" s="7"/>
      <c r="I37" s="7"/>
      <c r="J37" s="7"/>
      <c r="K37" s="7"/>
      <c r="L37" s="7"/>
      <c r="M37" s="7"/>
      <c r="N37" s="7"/>
      <c r="O37" s="7"/>
      <c r="P37" s="7"/>
      <c r="Q37" s="7"/>
      <c r="R37" s="7"/>
      <c r="S37" s="7"/>
      <c r="T37" s="7"/>
      <c r="U37" s="7"/>
      <c r="V37" s="181"/>
      <c r="W37" s="181"/>
      <c r="X37" s="181"/>
      <c r="Y37" s="181"/>
      <c r="Z37" s="7"/>
      <c r="AA37" s="7"/>
      <c r="AB37" s="7"/>
      <c r="AC37" s="7"/>
      <c r="AD37" s="7"/>
      <c r="AE37" s="7"/>
    </row>
    <row r="38" spans="1:33">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G38" s="184"/>
    </row>
    <row r="39" spans="1:33">
      <c r="A39" s="7"/>
      <c r="B39" s="7"/>
      <c r="C39" s="7"/>
      <c r="D39" s="7"/>
      <c r="E39" s="7"/>
      <c r="F39" s="7"/>
      <c r="G39" s="7"/>
      <c r="H39" s="7"/>
      <c r="I39" s="7"/>
      <c r="J39" s="7"/>
      <c r="K39" s="7"/>
      <c r="L39" s="7"/>
      <c r="M39" s="219"/>
      <c r="N39" s="219"/>
      <c r="O39" s="7"/>
      <c r="P39" s="7"/>
      <c r="Q39" s="7"/>
      <c r="R39" s="7"/>
      <c r="S39" s="7"/>
      <c r="T39" s="7"/>
      <c r="U39" s="7"/>
      <c r="V39" s="7"/>
      <c r="W39" s="7"/>
      <c r="X39" s="7"/>
      <c r="Y39" s="7"/>
      <c r="Z39" s="7"/>
      <c r="AA39" s="7"/>
      <c r="AB39" s="7"/>
      <c r="AC39" s="7"/>
      <c r="AD39" s="7"/>
      <c r="AE39" s="7"/>
    </row>
    <row r="40" spans="1:33">
      <c r="A40" s="7"/>
      <c r="B40" s="7"/>
      <c r="C40" s="7"/>
      <c r="D40" s="7"/>
      <c r="E40" s="7"/>
      <c r="F40" s="7"/>
      <c r="G40" s="7"/>
      <c r="H40" s="7"/>
      <c r="I40" s="7"/>
      <c r="J40" s="7"/>
      <c r="K40" s="7"/>
      <c r="L40" s="7"/>
      <c r="M40" s="220" t="s">
        <v>234</v>
      </c>
      <c r="N40" s="219"/>
      <c r="O40" s="7"/>
      <c r="P40" s="7"/>
      <c r="Q40" s="7"/>
      <c r="R40" s="7"/>
      <c r="S40" s="7"/>
      <c r="T40" s="7"/>
      <c r="U40" s="7"/>
      <c r="V40" s="7"/>
      <c r="W40" s="7"/>
      <c r="X40" s="7"/>
      <c r="Y40" s="7"/>
      <c r="Z40" s="7"/>
      <c r="AA40" s="7"/>
      <c r="AB40" s="7"/>
      <c r="AC40" s="7"/>
      <c r="AD40" s="7"/>
      <c r="AE40" s="7"/>
    </row>
    <row r="41" spans="1:33" ht="25.8">
      <c r="A41" s="7"/>
      <c r="B41" s="7"/>
      <c r="D41" s="7"/>
      <c r="E41" s="183">
        <v>0.25</v>
      </c>
      <c r="G41" s="7"/>
      <c r="H41" s="7"/>
      <c r="I41" s="7"/>
      <c r="J41" s="7"/>
      <c r="K41" s="7"/>
      <c r="L41" s="7"/>
      <c r="M41" s="7"/>
      <c r="N41" s="7"/>
      <c r="O41" s="7"/>
      <c r="P41" s="7"/>
      <c r="Q41" s="7"/>
      <c r="R41" s="7"/>
      <c r="S41" s="7"/>
      <c r="T41" s="7"/>
      <c r="U41" s="7"/>
      <c r="V41" s="7"/>
      <c r="W41" s="7"/>
      <c r="X41" s="7"/>
      <c r="Y41" s="7"/>
      <c r="Z41" s="7"/>
      <c r="AA41" s="7"/>
      <c r="AB41" s="7"/>
      <c r="AC41" s="7"/>
      <c r="AD41" s="7"/>
      <c r="AE41" s="7"/>
    </row>
    <row r="42" spans="1:33">
      <c r="A42" s="7"/>
      <c r="B42" s="7"/>
      <c r="C42" s="7"/>
      <c r="D42" s="7"/>
      <c r="E42" s="7"/>
      <c r="F42" s="7"/>
      <c r="G42" s="7"/>
      <c r="H42" s="7"/>
      <c r="I42" s="7"/>
      <c r="J42" s="7"/>
      <c r="K42" s="7"/>
      <c r="L42" s="7"/>
      <c r="M42" s="7"/>
      <c r="N42" s="7"/>
      <c r="O42" s="7"/>
      <c r="Q42" s="7"/>
      <c r="R42" s="7"/>
      <c r="S42" s="7"/>
      <c r="T42" s="7"/>
      <c r="U42" s="7"/>
      <c r="V42" s="7"/>
      <c r="W42" s="7"/>
      <c r="X42" s="7"/>
      <c r="Y42" s="7"/>
      <c r="Z42" s="7"/>
      <c r="AA42" s="7"/>
      <c r="AB42" s="7"/>
      <c r="AC42" s="7"/>
      <c r="AD42" s="7"/>
      <c r="AE42" s="7"/>
    </row>
    <row r="43" spans="1:33">
      <c r="A43" s="7"/>
      <c r="B43" s="7"/>
      <c r="C43" s="7"/>
      <c r="D43" s="7"/>
      <c r="E43" s="7"/>
      <c r="F43" s="7"/>
      <c r="G43" s="7"/>
      <c r="H43" s="7"/>
      <c r="I43" s="7"/>
      <c r="J43" s="7"/>
      <c r="K43" s="7"/>
      <c r="L43" s="7"/>
      <c r="M43" s="7"/>
      <c r="O43" s="7"/>
      <c r="P43" s="7"/>
      <c r="Q43" s="7"/>
      <c r="R43" s="7"/>
      <c r="S43" s="7"/>
      <c r="T43" s="7"/>
      <c r="U43" s="7"/>
      <c r="V43" s="7"/>
      <c r="W43" s="7"/>
      <c r="X43" s="7"/>
      <c r="Y43" s="7"/>
      <c r="Z43" s="7"/>
      <c r="AA43" s="7"/>
      <c r="AB43" s="7"/>
      <c r="AC43" s="7"/>
      <c r="AD43" s="7"/>
      <c r="AE43" s="7"/>
    </row>
    <row r="44" spans="1:3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row>
    <row r="45" spans="1:33">
      <c r="A45" s="7"/>
      <c r="B45" s="7"/>
      <c r="C45" s="7"/>
      <c r="D45" s="7"/>
      <c r="E45" s="7"/>
      <c r="F45" s="7"/>
      <c r="G45" s="7"/>
      <c r="H45" s="7"/>
      <c r="I45" s="7"/>
      <c r="J45" s="7"/>
      <c r="K45" s="7"/>
      <c r="L45" s="7"/>
      <c r="M45" s="197"/>
      <c r="N45" s="197"/>
      <c r="O45" s="7"/>
      <c r="P45" s="7"/>
      <c r="Q45" s="7"/>
      <c r="R45" s="7"/>
      <c r="S45" s="7"/>
      <c r="T45" s="7"/>
      <c r="U45" s="7"/>
      <c r="V45" s="7"/>
      <c r="W45" s="7"/>
      <c r="X45" s="7"/>
      <c r="Y45" s="7"/>
      <c r="Z45" s="7"/>
      <c r="AA45" s="7"/>
      <c r="AB45" s="7"/>
      <c r="AC45" s="7"/>
      <c r="AD45" s="7"/>
      <c r="AE45" s="7"/>
    </row>
    <row r="46" spans="1:33" ht="25.8">
      <c r="A46" s="7"/>
      <c r="B46" s="7"/>
      <c r="C46" s="7" t="s">
        <v>223</v>
      </c>
      <c r="D46" s="7"/>
      <c r="E46" s="183">
        <v>0.4</v>
      </c>
      <c r="F46" s="7"/>
      <c r="G46" s="185" t="s">
        <v>224</v>
      </c>
      <c r="I46" s="7"/>
      <c r="J46" s="190" t="s">
        <v>229</v>
      </c>
      <c r="L46" s="7"/>
      <c r="M46" s="198" t="s">
        <v>233</v>
      </c>
      <c r="N46" s="197"/>
      <c r="O46" s="7"/>
      <c r="P46" s="7"/>
      <c r="Q46" s="7"/>
      <c r="R46" s="7"/>
      <c r="S46" s="7"/>
      <c r="T46" s="7"/>
      <c r="U46" s="7"/>
      <c r="V46" s="7"/>
      <c r="W46" s="7"/>
      <c r="X46" s="7"/>
      <c r="Y46" s="7"/>
      <c r="Z46" s="7"/>
      <c r="AA46" s="7"/>
      <c r="AB46" s="7"/>
      <c r="AC46" s="7"/>
      <c r="AD46" s="7"/>
      <c r="AE46" s="7"/>
    </row>
    <row r="47" spans="1:33">
      <c r="A47" s="7"/>
      <c r="B47" s="7"/>
      <c r="C47" s="7"/>
      <c r="D47" s="7"/>
      <c r="F47" s="7"/>
      <c r="G47" s="7"/>
      <c r="I47" s="7"/>
      <c r="J47" s="7"/>
      <c r="K47" s="7"/>
      <c r="L47" s="7"/>
      <c r="M47" s="7"/>
      <c r="N47" s="7"/>
      <c r="O47" s="7"/>
      <c r="P47" s="7"/>
      <c r="Q47" s="7"/>
      <c r="R47" s="7"/>
      <c r="S47" s="7"/>
      <c r="T47" s="7"/>
      <c r="U47" s="7"/>
      <c r="V47" s="7"/>
      <c r="W47" s="7"/>
      <c r="X47" s="7"/>
      <c r="Y47" s="7"/>
      <c r="Z47" s="7"/>
      <c r="AA47" s="7"/>
      <c r="AB47" s="7"/>
      <c r="AC47" s="7"/>
      <c r="AD47" s="7"/>
      <c r="AE47" s="7"/>
    </row>
    <row r="48" spans="1:33">
      <c r="A48" s="7"/>
      <c r="B48" s="7"/>
      <c r="C48" s="7"/>
      <c r="D48" s="7"/>
      <c r="E48" s="7"/>
      <c r="F48" s="7"/>
      <c r="G48" s="7"/>
      <c r="H48" s="7"/>
      <c r="I48" s="7"/>
      <c r="J48" s="7"/>
      <c r="K48" s="7"/>
      <c r="L48" s="7"/>
      <c r="M48" s="7"/>
      <c r="N48" s="7"/>
      <c r="O48" s="7"/>
      <c r="P48" s="7"/>
      <c r="Q48" s="7"/>
      <c r="R48" s="7"/>
      <c r="S48" s="7"/>
      <c r="V48" s="7"/>
      <c r="W48" s="7"/>
      <c r="X48" s="7"/>
      <c r="Y48" s="7"/>
      <c r="Z48" s="7"/>
      <c r="AA48" s="7"/>
      <c r="AB48" s="7"/>
      <c r="AC48" s="7"/>
      <c r="AD48" s="7"/>
      <c r="AE48" s="7"/>
    </row>
    <row r="49" spans="1:31" ht="25.8">
      <c r="A49" s="7"/>
      <c r="B49" s="7"/>
      <c r="C49" s="7"/>
      <c r="D49" s="7"/>
      <c r="E49" s="183">
        <v>0.6</v>
      </c>
      <c r="F49" s="7"/>
      <c r="G49" s="7"/>
      <c r="H49" s="7"/>
      <c r="I49" s="7"/>
      <c r="J49" s="192"/>
      <c r="K49" s="7"/>
      <c r="L49" s="7"/>
      <c r="M49" s="7"/>
      <c r="N49" s="7"/>
      <c r="O49" s="7"/>
      <c r="P49" s="7"/>
      <c r="Q49" s="7"/>
      <c r="R49" s="7"/>
      <c r="S49" s="7"/>
      <c r="T49" s="7"/>
      <c r="U49" s="7"/>
      <c r="V49" s="7"/>
      <c r="W49" s="7"/>
      <c r="X49" s="7"/>
      <c r="Y49" s="7"/>
      <c r="Z49" s="7"/>
      <c r="AA49" s="7"/>
      <c r="AB49" s="7"/>
      <c r="AC49" s="7"/>
      <c r="AD49" s="7"/>
      <c r="AE49" s="7"/>
    </row>
    <row r="50" spans="1:31">
      <c r="A50" s="7"/>
      <c r="B50" s="7"/>
      <c r="C50" s="7"/>
      <c r="D50" s="7"/>
      <c r="E50" s="7"/>
      <c r="F50" s="7"/>
      <c r="G50" s="185" t="s">
        <v>230</v>
      </c>
      <c r="H50" s="7"/>
      <c r="I50" s="7"/>
      <c r="L50" s="7"/>
      <c r="M50" s="7"/>
      <c r="N50" s="7"/>
      <c r="O50" s="7"/>
      <c r="P50" s="7"/>
      <c r="Q50" s="7"/>
      <c r="R50" s="7"/>
      <c r="S50" s="7"/>
      <c r="T50" s="7"/>
      <c r="U50" s="7"/>
      <c r="V50" s="7"/>
      <c r="W50" s="7"/>
      <c r="X50" s="7"/>
      <c r="Y50" s="7"/>
      <c r="Z50" s="7"/>
      <c r="AA50" s="7"/>
      <c r="AB50" s="7"/>
      <c r="AC50" s="7"/>
      <c r="AD50" s="7"/>
      <c r="AE50" s="7"/>
    </row>
    <row r="51" spans="1:3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row>
    <row r="52" spans="1:31" ht="25.8">
      <c r="A52" s="7"/>
      <c r="B52" s="7"/>
      <c r="C52" s="7"/>
      <c r="D52" s="7"/>
      <c r="E52" s="183">
        <v>0.75</v>
      </c>
      <c r="F52" s="7"/>
      <c r="G52" s="7"/>
      <c r="H52" s="7"/>
      <c r="I52" s="7"/>
      <c r="J52" s="7"/>
      <c r="K52" s="7"/>
      <c r="L52" s="7"/>
      <c r="M52" s="195"/>
      <c r="N52" s="195"/>
      <c r="O52" s="7"/>
      <c r="P52" s="7"/>
      <c r="Q52" s="7"/>
      <c r="R52" s="7"/>
      <c r="S52" s="7"/>
      <c r="U52" s="191"/>
      <c r="V52" s="7"/>
      <c r="W52" s="7"/>
      <c r="X52" s="7"/>
      <c r="Y52" s="7"/>
      <c r="Z52" s="7"/>
      <c r="AA52" s="7"/>
      <c r="AB52" s="7"/>
      <c r="AC52" s="7"/>
      <c r="AD52" s="7"/>
      <c r="AE52" s="7"/>
    </row>
    <row r="53" spans="1:31" ht="23.4">
      <c r="A53" s="7"/>
      <c r="B53" s="7"/>
      <c r="C53" s="7"/>
      <c r="D53" s="7"/>
      <c r="E53" s="7"/>
      <c r="F53" s="7"/>
      <c r="G53" s="7"/>
      <c r="H53" s="7"/>
      <c r="I53" s="7"/>
      <c r="J53" s="7"/>
      <c r="K53" s="7"/>
      <c r="L53" s="7"/>
      <c r="M53" s="196" t="s">
        <v>232</v>
      </c>
      <c r="N53" s="195"/>
      <c r="P53" s="7"/>
      <c r="Q53" s="185" t="s">
        <v>226</v>
      </c>
      <c r="S53" s="186"/>
      <c r="T53" s="7"/>
      <c r="U53" s="7"/>
      <c r="V53" s="185" t="s">
        <v>227</v>
      </c>
      <c r="W53" s="7"/>
      <c r="X53" s="7"/>
      <c r="Y53" s="7"/>
      <c r="Z53" s="7"/>
      <c r="AA53" s="7"/>
      <c r="AB53" s="7"/>
      <c r="AC53" s="7"/>
      <c r="AD53" s="7"/>
      <c r="AE53" s="7"/>
    </row>
    <row r="54" spans="1:31">
      <c r="A54" s="7"/>
      <c r="B54" s="7"/>
      <c r="C54" s="7"/>
      <c r="D54" s="7"/>
      <c r="E54" s="7"/>
      <c r="F54" s="7"/>
      <c r="G54" s="7"/>
      <c r="H54" s="7"/>
      <c r="I54" s="7"/>
      <c r="J54" s="7"/>
      <c r="K54" s="7"/>
      <c r="L54" s="7"/>
      <c r="M54" s="7"/>
      <c r="N54" s="7"/>
      <c r="P54" s="7"/>
      <c r="R54" s="7"/>
      <c r="S54" s="7"/>
      <c r="T54" s="7"/>
      <c r="U54" s="7"/>
      <c r="W54" s="7"/>
      <c r="X54" s="7"/>
      <c r="Y54" s="7"/>
      <c r="Z54" s="7"/>
      <c r="AA54" s="7"/>
      <c r="AB54" s="7"/>
      <c r="AC54" s="7"/>
      <c r="AD54" s="7"/>
      <c r="AE54" s="7"/>
    </row>
    <row r="55" spans="1:3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202">
        <v>40</v>
      </c>
      <c r="AD55" s="7"/>
      <c r="AE55" s="7"/>
    </row>
    <row r="56" spans="1:3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row>
    <row r="57" spans="1:31" ht="25.8">
      <c r="A57" s="7"/>
      <c r="B57" s="7"/>
      <c r="C57" s="7" t="s">
        <v>222</v>
      </c>
      <c r="D57" s="7"/>
      <c r="E57" s="183">
        <v>0.9</v>
      </c>
      <c r="F57" s="7"/>
      <c r="G57" s="7"/>
      <c r="H57" s="7"/>
      <c r="I57" s="7"/>
      <c r="J57" s="7"/>
      <c r="K57" s="7"/>
      <c r="L57" s="7"/>
      <c r="M57" s="193"/>
      <c r="N57" s="193"/>
      <c r="O57" s="7"/>
      <c r="P57" s="7"/>
      <c r="Q57" s="7"/>
      <c r="R57" s="7"/>
      <c r="S57" s="7"/>
      <c r="T57" s="7"/>
      <c r="U57" s="7"/>
      <c r="V57" s="7"/>
      <c r="W57" s="7"/>
      <c r="X57" s="7"/>
      <c r="Y57" s="7"/>
      <c r="Z57" s="7"/>
      <c r="AA57" s="7"/>
      <c r="AB57" s="7"/>
      <c r="AC57" s="7"/>
      <c r="AD57" s="7"/>
      <c r="AE57" s="7"/>
    </row>
    <row r="58" spans="1:31">
      <c r="A58" s="7"/>
      <c r="B58" s="7"/>
      <c r="C58" s="7"/>
      <c r="D58" s="7"/>
      <c r="E58" s="7"/>
      <c r="F58" s="7"/>
      <c r="G58" s="7"/>
      <c r="H58" s="7"/>
      <c r="I58" s="7"/>
      <c r="J58" s="7"/>
      <c r="K58" s="7"/>
      <c r="L58" s="7"/>
      <c r="M58" s="193"/>
      <c r="N58" s="193"/>
      <c r="O58" s="7"/>
      <c r="P58" s="7"/>
      <c r="Q58" s="7"/>
      <c r="R58" s="7"/>
      <c r="S58" s="7"/>
      <c r="T58" s="7"/>
      <c r="U58" s="7"/>
      <c r="V58" s="7"/>
      <c r="W58" s="7"/>
      <c r="X58" s="7"/>
      <c r="Y58" s="7"/>
      <c r="Z58" s="7"/>
      <c r="AA58" s="7"/>
      <c r="AB58" s="7"/>
      <c r="AC58" s="7"/>
      <c r="AD58" s="7"/>
      <c r="AE58" s="7"/>
    </row>
    <row r="59" spans="1:31">
      <c r="A59" s="7"/>
      <c r="B59" s="7"/>
      <c r="C59" s="7"/>
      <c r="D59" s="7"/>
      <c r="F59" s="7"/>
      <c r="G59" s="7"/>
      <c r="H59" s="185" t="s">
        <v>225</v>
      </c>
      <c r="I59" s="7"/>
      <c r="J59" s="7"/>
      <c r="K59" s="7"/>
      <c r="L59" s="7"/>
      <c r="M59" s="203" t="s">
        <v>231</v>
      </c>
      <c r="N59" s="193"/>
      <c r="O59" s="7"/>
      <c r="P59" s="7"/>
      <c r="Q59" s="7"/>
      <c r="R59" s="7"/>
      <c r="S59" s="7"/>
      <c r="T59" s="7"/>
      <c r="U59" s="7"/>
      <c r="V59" s="7"/>
      <c r="W59" s="185" t="s">
        <v>228</v>
      </c>
      <c r="X59" s="7"/>
      <c r="Y59" s="7"/>
      <c r="Z59" s="7"/>
      <c r="AA59" s="7"/>
      <c r="AB59" s="7"/>
      <c r="AC59" s="7"/>
      <c r="AD59" s="7"/>
      <c r="AE59" s="7"/>
    </row>
    <row r="60" spans="1:31">
      <c r="A60" s="7"/>
      <c r="B60" s="7"/>
      <c r="C60" s="7"/>
      <c r="D60" s="7"/>
      <c r="E60" s="7"/>
      <c r="F60" s="7"/>
      <c r="G60" s="7"/>
      <c r="H60" s="7"/>
      <c r="I60" s="7"/>
      <c r="J60" s="7"/>
      <c r="K60" s="7"/>
      <c r="L60" s="7"/>
      <c r="M60" s="7"/>
      <c r="N60" s="7"/>
      <c r="O60" s="7"/>
      <c r="Q60" s="7"/>
      <c r="R60" s="7"/>
      <c r="S60" s="7"/>
      <c r="T60" s="7"/>
      <c r="U60" s="7"/>
      <c r="V60" s="7"/>
      <c r="W60" s="7"/>
      <c r="X60" s="7"/>
      <c r="Y60" s="7"/>
      <c r="Z60" s="7"/>
      <c r="AA60" s="7"/>
      <c r="AB60" s="7"/>
      <c r="AC60" s="7"/>
      <c r="AD60" s="7"/>
      <c r="AE60" s="7"/>
    </row>
    <row r="61" spans="1:3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row>
    <row r="62" spans="1:31">
      <c r="A62" s="7"/>
      <c r="B62" s="7"/>
      <c r="C62" s="7"/>
      <c r="D62" s="7"/>
      <c r="E62" s="7"/>
      <c r="F62" s="7"/>
      <c r="G62" s="7"/>
      <c r="H62" s="7"/>
      <c r="I62" s="7"/>
      <c r="J62" s="7"/>
      <c r="K62" s="7"/>
      <c r="L62" s="7"/>
      <c r="M62" s="193"/>
      <c r="N62" s="7"/>
      <c r="O62" s="7"/>
      <c r="P62" s="7"/>
      <c r="Q62" s="7"/>
      <c r="R62" s="7"/>
      <c r="S62" s="7"/>
      <c r="T62" s="7"/>
      <c r="U62" s="7"/>
      <c r="V62" s="7"/>
      <c r="W62" s="7"/>
      <c r="X62" s="7"/>
      <c r="Y62" s="7"/>
      <c r="Z62" s="7"/>
      <c r="AA62" s="7"/>
      <c r="AB62" s="7"/>
      <c r="AC62" s="7"/>
      <c r="AD62" s="7"/>
      <c r="AE62" s="7"/>
    </row>
    <row r="63" spans="1:3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row>
    <row r="64" spans="1:3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row>
    <row r="65" spans="1:3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row>
    <row r="66" spans="1:3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row>
    <row r="67" spans="1:31" ht="15" thickBo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row>
    <row r="68" spans="1:31" ht="15" thickBot="1">
      <c r="A68" s="7"/>
      <c r="B68" s="7"/>
      <c r="C68" s="7"/>
      <c r="D68" s="7"/>
      <c r="E68" s="7"/>
      <c r="F68" s="7"/>
      <c r="G68" s="7"/>
      <c r="H68" s="7"/>
      <c r="I68" s="7"/>
      <c r="J68" s="7"/>
      <c r="K68" s="7"/>
      <c r="L68" s="7"/>
      <c r="M68" s="221"/>
      <c r="N68" s="7"/>
      <c r="O68" s="222"/>
      <c r="P68" s="7"/>
      <c r="Q68" s="7"/>
      <c r="R68" s="7"/>
      <c r="S68" s="7"/>
      <c r="T68" s="7"/>
      <c r="U68" s="7"/>
      <c r="V68" s="7"/>
      <c r="W68" s="7"/>
      <c r="X68" s="7"/>
      <c r="Y68" s="7"/>
    </row>
    <row r="69" spans="1:31">
      <c r="A69" s="7"/>
      <c r="B69" s="7"/>
      <c r="C69" s="7"/>
      <c r="D69" s="7"/>
      <c r="E69" s="7"/>
      <c r="F69" s="7"/>
      <c r="G69" s="7"/>
      <c r="H69" s="7"/>
      <c r="I69" s="7"/>
      <c r="J69" s="7"/>
      <c r="K69" s="7"/>
      <c r="L69" s="7"/>
      <c r="M69" s="7"/>
      <c r="N69" s="7"/>
      <c r="O69" s="7"/>
      <c r="P69" s="7"/>
      <c r="Q69" s="7"/>
      <c r="R69" s="7"/>
      <c r="S69" s="7"/>
      <c r="T69" s="7"/>
      <c r="U69" s="7"/>
      <c r="V69" s="7"/>
      <c r="W69" s="7"/>
      <c r="X69" s="7"/>
      <c r="Y69" s="7"/>
    </row>
    <row r="70" spans="1:31">
      <c r="A70" s="7"/>
      <c r="B70" s="7"/>
      <c r="C70" s="7"/>
      <c r="D70" s="7"/>
      <c r="E70" s="7"/>
      <c r="F70" s="7"/>
      <c r="G70" s="7"/>
      <c r="H70" s="7"/>
      <c r="I70" s="7"/>
      <c r="J70" s="7"/>
      <c r="K70" s="7"/>
      <c r="L70" s="7"/>
      <c r="M70" s="7"/>
      <c r="N70" s="7"/>
      <c r="O70" s="7"/>
      <c r="P70" s="7"/>
      <c r="Q70" s="7"/>
      <c r="R70" s="7"/>
      <c r="S70" s="7"/>
      <c r="T70" s="7"/>
      <c r="U70" s="7"/>
      <c r="V70" s="7"/>
      <c r="W70" s="7"/>
      <c r="X70" s="7"/>
      <c r="Y70" s="7"/>
    </row>
    <row r="71" spans="1:31">
      <c r="A71" s="7"/>
      <c r="B71" s="7"/>
      <c r="C71" s="7"/>
      <c r="D71" s="7"/>
      <c r="E71" s="7"/>
      <c r="F71" s="7"/>
      <c r="G71" s="7"/>
      <c r="H71" s="7"/>
      <c r="I71" s="7"/>
      <c r="J71" s="7"/>
      <c r="K71" s="7"/>
      <c r="L71" s="7"/>
      <c r="M71" s="7"/>
      <c r="N71" s="7"/>
      <c r="O71" s="7"/>
      <c r="P71" s="7"/>
      <c r="Q71" s="7"/>
      <c r="R71" s="7"/>
      <c r="T71" s="7"/>
      <c r="U71" s="7"/>
      <c r="V71" s="7"/>
      <c r="W71" s="7"/>
      <c r="X71" s="7"/>
      <c r="Y71" s="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F0"/>
    <pageSetUpPr fitToPage="1"/>
  </sheetPr>
  <dimension ref="A1:ID120"/>
  <sheetViews>
    <sheetView showGridLines="0" zoomScale="80" zoomScaleNormal="80" zoomScaleSheetLayoutView="70" workbookViewId="0">
      <selection activeCell="AK20" sqref="AK20"/>
    </sheetView>
  </sheetViews>
  <sheetFormatPr defaultColWidth="9.109375" defaultRowHeight="14.4"/>
  <cols>
    <col min="1" max="1" width="1.88671875" customWidth="1"/>
    <col min="2" max="2" width="2.44140625" customWidth="1"/>
    <col min="3" max="3" width="24.44140625" customWidth="1"/>
    <col min="4" max="4" width="4.5546875" style="905" customWidth="1"/>
    <col min="5" max="5" width="14.5546875" customWidth="1"/>
    <col min="6" max="6" width="9.5546875" customWidth="1"/>
    <col min="7" max="7" width="5.5546875" customWidth="1"/>
    <col min="8" max="8" width="14.5546875" style="3" customWidth="1"/>
    <col min="9" max="9" width="7.88671875" style="3" customWidth="1"/>
    <col min="10" max="10" width="6.44140625" style="3" customWidth="1"/>
    <col min="11" max="11" width="10.5546875" style="3" customWidth="1"/>
    <col min="12" max="12" width="1.88671875" style="3" customWidth="1"/>
    <col min="13" max="13" width="10.5546875" style="8" customWidth="1"/>
    <col min="14" max="14" width="3.5546875" style="8" customWidth="1"/>
    <col min="15" max="15" width="10.44140625" style="8" customWidth="1"/>
    <col min="16" max="16" width="1.5546875" style="8" customWidth="1"/>
    <col min="17" max="17" width="10.109375" style="8" customWidth="1"/>
    <col min="18" max="18" width="5.5546875" style="8" customWidth="1"/>
    <col min="19" max="19" width="2.5546875" style="8" customWidth="1"/>
    <col min="20" max="20" width="3.88671875" style="8" customWidth="1"/>
    <col min="21" max="21" width="2.5546875" style="8" customWidth="1"/>
    <col min="22" max="22" width="2.44140625" style="8" customWidth="1"/>
    <col min="23" max="23" width="16.5546875" customWidth="1"/>
    <col min="24" max="25" width="8.5546875" style="8" customWidth="1"/>
    <col min="26" max="26" width="4.5546875" style="8" customWidth="1"/>
    <col min="27" max="27" width="10.5546875" style="8" customWidth="1"/>
    <col min="28" max="28" width="6" style="8" customWidth="1"/>
    <col min="29" max="29" width="10.44140625" style="8" customWidth="1"/>
    <col min="30" max="30" width="8.44140625" style="8" customWidth="1"/>
    <col min="31" max="31" width="7.5546875" style="8" bestFit="1" customWidth="1"/>
    <col min="32" max="32" width="4.88671875" style="8" hidden="1" customWidth="1"/>
    <col min="33" max="33" width="2.88671875" style="8" customWidth="1"/>
    <col min="34" max="34" width="3.88671875" style="8" customWidth="1"/>
    <col min="35" max="35" width="10.88671875" style="8" customWidth="1"/>
    <col min="36" max="36" width="2.88671875" style="661" customWidth="1"/>
    <col min="37" max="37" width="10.44140625" style="8" customWidth="1"/>
    <col min="38" max="38" width="10" style="8" customWidth="1"/>
    <col min="39" max="39" width="3.44140625" style="8" customWidth="1"/>
    <col min="40" max="40" width="9" style="8" customWidth="1"/>
    <col min="41" max="41" width="9.109375" style="8" customWidth="1"/>
    <col min="42" max="42" width="1.88671875" style="75" customWidth="1"/>
    <col min="43" max="43" width="9.5546875" customWidth="1"/>
    <col min="44" max="44" width="9.109375" style="8" customWidth="1"/>
    <col min="45" max="45" width="3" style="8" customWidth="1"/>
    <col min="46" max="46" width="6.88671875" style="8" customWidth="1"/>
    <col min="47" max="47" width="33.5546875" style="8" customWidth="1"/>
    <col min="48" max="48" width="7.44140625" style="3" customWidth="1"/>
    <col min="49" max="49" width="8.5546875" customWidth="1"/>
    <col min="50" max="50" width="9" customWidth="1"/>
    <col min="51" max="51" width="8.88671875" customWidth="1"/>
    <col min="52" max="52" width="7.5546875" customWidth="1"/>
    <col min="53" max="53" width="8.88671875" customWidth="1"/>
    <col min="54" max="54" width="3" style="7" customWidth="1"/>
    <col min="55" max="64" width="8.5546875" customWidth="1"/>
    <col min="65" max="65" width="3.88671875" customWidth="1"/>
    <col min="66" max="66" width="10" customWidth="1"/>
    <col min="67" max="68" width="8.44140625" customWidth="1"/>
    <col min="69" max="69" width="9.44140625" customWidth="1"/>
    <col min="70" max="70" width="8.44140625" customWidth="1"/>
    <col min="71" max="71" width="9.5546875" customWidth="1"/>
    <col min="72" max="72" width="9.44140625" customWidth="1"/>
    <col min="73" max="73" width="3.5546875" customWidth="1"/>
    <col min="74" max="74" width="11.44140625" customWidth="1"/>
    <col min="75" max="75" width="4.109375" customWidth="1"/>
    <col min="76" max="76" width="9.5546875" style="3" customWidth="1"/>
    <col min="77" max="77" width="10.44140625" style="3" customWidth="1"/>
    <col min="78" max="78" width="12.44140625" style="3" customWidth="1"/>
    <col min="79" max="79" width="9.88671875" customWidth="1"/>
    <col min="80" max="80" width="3.5546875" customWidth="1"/>
    <col min="81" max="81" width="8.88671875"/>
    <col min="82" max="83" width="5.44140625" customWidth="1"/>
    <col min="84" max="84" width="7.44140625" customWidth="1"/>
    <col min="85" max="85" width="24.109375" customWidth="1"/>
    <col min="86" max="86" width="11.44140625" customWidth="1"/>
    <col min="87" max="87" width="24.88671875" customWidth="1"/>
    <col min="88" max="88" width="10.88671875" customWidth="1"/>
    <col min="89" max="89" width="11.109375" customWidth="1"/>
    <col min="90" max="90" width="11.5546875" customWidth="1"/>
    <col min="91" max="91" width="10" customWidth="1"/>
    <col min="92" max="92" width="3.44140625" customWidth="1"/>
    <col min="93" max="93" width="10.44140625" customWidth="1"/>
    <col min="94" max="94" width="14.88671875" customWidth="1"/>
    <col min="95" max="95" width="13.5546875" style="3" customWidth="1"/>
    <col min="96" max="96" width="40.109375" style="3" customWidth="1"/>
    <col min="97" max="97" width="9.5546875" customWidth="1"/>
    <col min="98" max="98" width="2.44140625" customWidth="1"/>
    <col min="99" max="99" width="12.5546875" customWidth="1"/>
    <col min="100" max="100" width="8" customWidth="1"/>
    <col min="101" max="103" width="9.109375" customWidth="1"/>
  </cols>
  <sheetData>
    <row r="1" spans="1:120">
      <c r="A1" s="582"/>
      <c r="B1" s="582"/>
      <c r="C1" s="582"/>
      <c r="D1" s="1254"/>
      <c r="E1" s="582"/>
      <c r="F1" s="582"/>
      <c r="G1" s="582"/>
      <c r="H1" s="579"/>
      <c r="I1" s="579"/>
      <c r="J1" s="579"/>
      <c r="K1" s="579"/>
      <c r="L1" s="579"/>
      <c r="M1" s="579"/>
      <c r="N1" s="579"/>
      <c r="O1" s="579"/>
      <c r="P1" s="579"/>
      <c r="Q1" s="579"/>
      <c r="R1" s="579"/>
      <c r="S1" s="579"/>
      <c r="T1" s="579"/>
      <c r="U1" s="579"/>
      <c r="V1" s="579"/>
      <c r="W1" s="582"/>
      <c r="X1" s="579"/>
      <c r="Y1" s="579"/>
      <c r="Z1" s="579"/>
      <c r="AA1" s="579"/>
      <c r="AB1" s="579"/>
      <c r="AC1" s="579"/>
      <c r="AD1" s="579"/>
      <c r="AE1" s="579"/>
      <c r="AF1" s="1288"/>
      <c r="AG1" s="579"/>
      <c r="AH1" s="579"/>
      <c r="AI1" s="579"/>
      <c r="AJ1" s="1255"/>
      <c r="AK1" s="579"/>
      <c r="AL1" s="579"/>
      <c r="AM1" s="579"/>
      <c r="AN1" s="579"/>
      <c r="AO1" s="579"/>
      <c r="AP1" s="579"/>
      <c r="AQ1" s="582"/>
      <c r="AR1" s="579"/>
      <c r="AS1" s="579"/>
      <c r="AT1" s="579"/>
      <c r="AU1" s="579"/>
      <c r="AV1" s="579"/>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79"/>
      <c r="BY1" s="579"/>
      <c r="BZ1" s="579"/>
      <c r="CA1" s="582"/>
      <c r="CB1" s="582"/>
      <c r="CC1" s="582"/>
      <c r="CD1" s="582"/>
      <c r="CE1" s="582"/>
      <c r="CF1" s="582"/>
      <c r="CG1" s="582"/>
    </row>
    <row r="2" spans="1:120" s="4" customFormat="1" ht="22.5" customHeight="1" thickBot="1">
      <c r="A2" s="94"/>
      <c r="B2" s="924"/>
      <c r="C2" s="1836" t="s">
        <v>459</v>
      </c>
      <c r="D2" s="1836"/>
      <c r="E2" s="1821"/>
      <c r="F2" s="1822"/>
      <c r="G2" s="1822"/>
      <c r="H2" s="1823"/>
      <c r="I2" s="94"/>
      <c r="J2" s="94"/>
      <c r="K2" s="94"/>
      <c r="L2" s="94"/>
      <c r="M2" s="94"/>
      <c r="N2" s="94"/>
      <c r="O2" s="94"/>
      <c r="P2" s="94"/>
      <c r="Q2" s="94"/>
      <c r="R2" s="44"/>
      <c r="S2" s="44"/>
      <c r="T2" s="1143"/>
      <c r="U2" s="44"/>
      <c r="V2" s="8"/>
      <c r="W2" s="1454"/>
      <c r="X2" s="1454"/>
      <c r="Y2" s="1454"/>
      <c r="Z2" s="1454"/>
      <c r="AA2" s="1454"/>
      <c r="AB2" s="1454"/>
      <c r="AC2" s="1454"/>
      <c r="AD2" s="53"/>
      <c r="AE2" s="53"/>
      <c r="AF2" s="1289"/>
      <c r="AG2" s="94"/>
      <c r="AH2" s="1142"/>
      <c r="AI2" s="44"/>
      <c r="AJ2" s="75"/>
      <c r="AK2" s="75"/>
      <c r="AL2" s="75"/>
      <c r="AM2" s="75"/>
      <c r="AN2" s="75"/>
      <c r="AO2" s="75"/>
      <c r="AP2" s="75"/>
      <c r="AQ2" s="94"/>
      <c r="AR2" s="94"/>
      <c r="AS2" s="94"/>
      <c r="AT2" s="94"/>
      <c r="AU2" s="94"/>
      <c r="AV2" s="75"/>
      <c r="AW2" s="75"/>
      <c r="AX2" s="75"/>
      <c r="AY2" s="75"/>
      <c r="AZ2" s="75"/>
      <c r="BA2" s="75"/>
      <c r="BB2" s="75"/>
      <c r="BC2" s="75"/>
      <c r="BD2" s="75"/>
      <c r="BE2" s="75"/>
      <c r="BF2" s="75"/>
      <c r="BG2" s="75"/>
      <c r="BH2" s="75"/>
      <c r="BI2" s="75"/>
      <c r="BJ2" s="75"/>
      <c r="BK2" s="75"/>
      <c r="BL2" s="75"/>
      <c r="BM2" s="75"/>
      <c r="BN2" s="94"/>
      <c r="BO2" s="94"/>
      <c r="BP2" s="94"/>
      <c r="BQ2" s="94"/>
      <c r="BR2" s="94"/>
      <c r="BS2" s="94"/>
      <c r="BT2" s="44"/>
      <c r="BU2" s="94"/>
      <c r="BV2" s="94"/>
      <c r="BW2" s="94"/>
      <c r="BX2" s="75"/>
      <c r="BY2" s="75"/>
      <c r="BZ2" s="75"/>
      <c r="CA2" s="75"/>
      <c r="CB2" s="94"/>
      <c r="CC2" s="94"/>
      <c r="CD2" s="94"/>
      <c r="CE2" s="94"/>
      <c r="CF2" s="94"/>
      <c r="CG2" s="94"/>
      <c r="CH2" s="14"/>
      <c r="CS2" s="17"/>
      <c r="CT2" s="17"/>
      <c r="CU2" s="1018"/>
      <c r="CV2" s="1018"/>
      <c r="CW2" s="1018"/>
      <c r="CX2" s="1018"/>
      <c r="CY2" s="1018"/>
      <c r="CZ2" s="1018"/>
      <c r="DA2" s="1018"/>
      <c r="DB2" s="1018"/>
      <c r="DC2" s="1018"/>
      <c r="DD2" s="1018"/>
      <c r="DE2" s="1018"/>
      <c r="DF2" s="1018"/>
      <c r="DG2" s="1018"/>
      <c r="DH2" s="1018"/>
      <c r="DI2" s="1018"/>
      <c r="DJ2" s="1018"/>
      <c r="DK2" s="1018"/>
      <c r="DL2" s="1018"/>
      <c r="DM2" s="1018"/>
      <c r="DN2" s="1018"/>
      <c r="DO2" s="1018"/>
      <c r="DP2" s="1018"/>
    </row>
    <row r="3" spans="1:120" s="4" customFormat="1" ht="22.5" customHeight="1" thickTop="1" thickBot="1">
      <c r="A3" s="94"/>
      <c r="B3" s="924"/>
      <c r="C3" s="94"/>
      <c r="D3" s="866" t="s">
        <v>460</v>
      </c>
      <c r="E3" s="1843">
        <f ca="1">TODAY()</f>
        <v>45392</v>
      </c>
      <c r="F3" s="1844"/>
      <c r="G3" s="94"/>
      <c r="H3" s="94"/>
      <c r="I3" s="94"/>
      <c r="J3" s="94"/>
      <c r="K3" s="866" t="s">
        <v>429</v>
      </c>
      <c r="L3" s="94"/>
      <c r="M3" s="94"/>
      <c r="N3" s="1833"/>
      <c r="O3" s="1834"/>
      <c r="P3" s="1835"/>
      <c r="Q3" s="1072" t="str">
        <f>IF(I4="","i","")</f>
        <v>i</v>
      </c>
      <c r="R3" s="94"/>
      <c r="S3" s="44"/>
      <c r="T3" s="1143"/>
      <c r="U3" s="44"/>
      <c r="V3" s="8"/>
      <c r="W3" s="1318" t="s">
        <v>148</v>
      </c>
      <c r="X3" s="1319"/>
      <c r="Y3" s="1319"/>
      <c r="Z3" s="1319"/>
      <c r="AA3" s="1319"/>
      <c r="AB3" s="1319"/>
      <c r="AC3" s="1855" t="s">
        <v>249</v>
      </c>
      <c r="AD3" s="1856"/>
      <c r="AE3" s="8"/>
      <c r="AF3" s="1289"/>
      <c r="AG3" s="94"/>
      <c r="AH3" s="1142"/>
      <c r="AI3" s="44"/>
      <c r="AJ3" s="75"/>
      <c r="AK3" s="75"/>
      <c r="AL3" s="75"/>
      <c r="AM3" s="75"/>
      <c r="AN3" s="75"/>
      <c r="AO3" s="75"/>
      <c r="AP3" s="75"/>
      <c r="AQ3" s="94"/>
      <c r="AR3" s="94"/>
      <c r="AS3" s="94"/>
      <c r="AT3" s="94"/>
      <c r="AU3" s="94"/>
      <c r="AV3" s="75"/>
      <c r="AW3" s="75"/>
      <c r="AX3" s="75"/>
      <c r="AY3" s="75"/>
      <c r="AZ3" s="75"/>
      <c r="BA3" s="75"/>
      <c r="BB3" s="75"/>
      <c r="BC3" s="75"/>
      <c r="BD3" s="75"/>
      <c r="BE3" s="75"/>
      <c r="BF3" s="75"/>
      <c r="BG3" s="75"/>
      <c r="BH3" s="75"/>
      <c r="BI3" s="75"/>
      <c r="BJ3" s="75"/>
      <c r="BK3" s="75"/>
      <c r="BL3" s="75"/>
      <c r="BM3" s="75"/>
      <c r="BN3" s="94"/>
      <c r="BO3" s="94"/>
      <c r="BP3" s="94"/>
      <c r="BQ3" s="94"/>
      <c r="BR3" s="94"/>
      <c r="BS3" s="94"/>
      <c r="BT3" s="44"/>
      <c r="BU3" s="94"/>
      <c r="BV3" s="94"/>
      <c r="BW3" s="94"/>
      <c r="BX3" s="75"/>
      <c r="BY3" s="75"/>
      <c r="BZ3" s="75"/>
      <c r="CA3" s="75"/>
      <c r="CB3" s="94"/>
      <c r="CC3" s="94"/>
      <c r="CD3" s="94"/>
      <c r="CE3" s="94"/>
      <c r="CF3" s="94"/>
      <c r="CG3" s="94"/>
      <c r="CH3" s="14"/>
      <c r="CQ3" s="1349" t="s">
        <v>569</v>
      </c>
      <c r="CR3" s="1350"/>
      <c r="CS3" s="1324" t="s">
        <v>242</v>
      </c>
      <c r="CT3" s="1325"/>
      <c r="CU3" s="1326" t="s">
        <v>243</v>
      </c>
      <c r="CV3" s="1018"/>
      <c r="CW3" s="1018"/>
      <c r="CX3" s="1018"/>
      <c r="CY3" s="1018"/>
      <c r="CZ3" s="1018"/>
      <c r="DA3" s="1018"/>
      <c r="DB3" s="1018"/>
      <c r="DC3" s="1018"/>
      <c r="DD3" s="1018"/>
      <c r="DE3" s="1018"/>
      <c r="DF3" s="1018"/>
      <c r="DG3" s="1018"/>
      <c r="DH3" s="1018"/>
      <c r="DI3" s="1018"/>
      <c r="DJ3" s="1018"/>
      <c r="DK3" s="1018"/>
      <c r="DL3" s="1018"/>
      <c r="DM3" s="1018"/>
      <c r="DN3" s="1018"/>
      <c r="DO3" s="1018"/>
      <c r="DP3" s="1018"/>
    </row>
    <row r="4" spans="1:120" s="4" customFormat="1" ht="22.5" customHeight="1" thickBot="1">
      <c r="A4" s="75"/>
      <c r="B4" s="75"/>
      <c r="C4" s="75"/>
      <c r="D4" s="75"/>
      <c r="E4" s="75"/>
      <c r="F4" s="75"/>
      <c r="G4" s="75"/>
      <c r="H4" s="75"/>
      <c r="I4" s="75"/>
      <c r="J4" s="75"/>
      <c r="K4" s="75"/>
      <c r="L4" s="75"/>
      <c r="M4" s="75"/>
      <c r="N4" s="75"/>
      <c r="O4" s="75"/>
      <c r="P4" s="75"/>
      <c r="Q4" s="75"/>
      <c r="R4" s="75"/>
      <c r="S4" s="75"/>
      <c r="T4" s="1142"/>
      <c r="U4" s="75"/>
      <c r="V4" s="8"/>
      <c r="W4" s="1067" t="s">
        <v>35</v>
      </c>
      <c r="X4" s="995"/>
      <c r="Y4" s="995"/>
      <c r="Z4" s="995"/>
      <c r="AA4" s="207"/>
      <c r="AB4" s="207"/>
      <c r="AC4" s="207"/>
      <c r="AD4" s="1075" t="str">
        <f>IF($H$8="","",VLOOKUP($H$8,'Data source'!$B$190:$C$199,2,FALSE))</f>
        <v/>
      </c>
      <c r="AE4" s="8"/>
      <c r="AF4" s="1288"/>
      <c r="AG4" s="75"/>
      <c r="AH4" s="1142"/>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94"/>
      <c r="BO4" s="94"/>
      <c r="BP4" s="94"/>
      <c r="BQ4" s="94"/>
      <c r="BR4" s="94"/>
      <c r="BS4" s="94"/>
      <c r="BT4" s="44"/>
      <c r="BU4" s="94"/>
      <c r="BV4" s="94"/>
      <c r="BW4" s="94"/>
      <c r="BX4" s="75"/>
      <c r="BY4" s="75"/>
      <c r="BZ4" s="75"/>
      <c r="CA4" s="75"/>
      <c r="CB4" s="94"/>
      <c r="CC4" s="94"/>
      <c r="CD4" s="94"/>
      <c r="CE4" s="94"/>
      <c r="CF4" s="94"/>
      <c r="CG4" s="94"/>
      <c r="CH4" s="14"/>
      <c r="CQ4" s="1355" t="s">
        <v>576</v>
      </c>
      <c r="CR4" s="46" t="s">
        <v>85</v>
      </c>
      <c r="CS4" s="47">
        <f>IF(OR($AA$43="",$AA40=""),11,$AA$43/$AA40)</f>
        <v>11</v>
      </c>
      <c r="CT4"/>
      <c r="CU4" s="1327">
        <f>IF(OR($AC$43="",$AC40=""),11,$AC$43/$AC40)</f>
        <v>11</v>
      </c>
      <c r="CV4" s="1018"/>
      <c r="CW4" s="1018"/>
      <c r="CX4" s="1018"/>
      <c r="CY4" s="1018"/>
      <c r="CZ4" s="1018"/>
      <c r="DA4" s="1018"/>
      <c r="DB4" s="1018"/>
      <c r="DC4" s="1018"/>
      <c r="DD4" s="1018"/>
      <c r="DE4" s="1018"/>
      <c r="DF4" s="1018"/>
      <c r="DG4" s="1018"/>
      <c r="DH4" s="1018"/>
      <c r="DI4" s="1018"/>
      <c r="DJ4" s="1018"/>
      <c r="DK4" s="1018"/>
      <c r="DL4" s="1018"/>
      <c r="DM4" s="1018"/>
      <c r="DN4" s="1018"/>
      <c r="DO4" s="1018"/>
      <c r="DP4" s="1018"/>
    </row>
    <row r="5" spans="1:120" ht="22.5" customHeight="1" thickTop="1" thickBot="1">
      <c r="A5" s="75"/>
      <c r="B5" s="1825" t="s">
        <v>440</v>
      </c>
      <c r="C5" s="1826"/>
      <c r="D5" s="1826"/>
      <c r="E5" s="1826"/>
      <c r="F5" s="1826"/>
      <c r="G5" s="1826"/>
      <c r="H5" s="1826"/>
      <c r="I5" s="1113"/>
      <c r="J5" s="1113"/>
      <c r="K5" s="1113"/>
      <c r="L5" s="1113"/>
      <c r="M5" s="1113"/>
      <c r="N5" s="1113"/>
      <c r="O5" s="1113"/>
      <c r="P5" s="1113"/>
      <c r="Q5" s="1113"/>
      <c r="R5" s="1120"/>
      <c r="S5" s="552"/>
      <c r="T5" s="1144"/>
      <c r="U5" s="552"/>
      <c r="W5" s="1068" t="s">
        <v>47</v>
      </c>
      <c r="X5" s="1314"/>
      <c r="Y5" s="1314"/>
      <c r="Z5" s="1314"/>
      <c r="AA5" s="30"/>
      <c r="AB5" s="30"/>
      <c r="AC5" s="30"/>
      <c r="AD5" s="1076" t="str">
        <f>IF($H$7="Dry",0,IF(OR($H$6="",$O$7=""),"",$O$7*$CJ$11))</f>
        <v/>
      </c>
      <c r="AF5" s="1290"/>
      <c r="AG5" s="1264"/>
      <c r="AH5" s="1142"/>
      <c r="AI5" s="552"/>
      <c r="AJ5" s="1003"/>
      <c r="AK5" s="75"/>
      <c r="AL5" s="1122"/>
      <c r="AM5" s="1122"/>
      <c r="AN5" s="1122"/>
      <c r="AO5" s="75"/>
      <c r="AQ5" s="44"/>
      <c r="AR5" s="75"/>
      <c r="AS5" s="75"/>
      <c r="AT5" s="75"/>
      <c r="AU5" s="75"/>
      <c r="AV5" s="75"/>
      <c r="AW5" s="75"/>
      <c r="AX5" s="75"/>
      <c r="AY5" s="75"/>
      <c r="AZ5" s="75"/>
      <c r="BA5" s="75"/>
      <c r="BB5" s="75"/>
      <c r="BC5" s="75"/>
      <c r="BD5" s="75"/>
      <c r="BE5" s="75"/>
      <c r="BF5" s="75"/>
      <c r="BG5" s="75"/>
      <c r="BH5" s="75"/>
      <c r="BI5" s="75"/>
      <c r="BJ5" s="75"/>
      <c r="BK5" s="75"/>
      <c r="BL5" s="75"/>
      <c r="BM5" s="75"/>
      <c r="BN5" s="94"/>
      <c r="BO5" s="94"/>
      <c r="BP5" s="94"/>
      <c r="BQ5" s="94"/>
      <c r="BR5" s="94"/>
      <c r="BS5" s="94"/>
      <c r="BT5" s="44"/>
      <c r="BU5" s="44"/>
      <c r="BV5" s="44"/>
      <c r="BW5" s="44"/>
      <c r="BX5" s="75"/>
      <c r="BY5" s="75"/>
      <c r="BZ5" s="75"/>
      <c r="CA5" s="75"/>
      <c r="CB5" s="44"/>
      <c r="CC5" s="44"/>
      <c r="CD5" s="44"/>
      <c r="CE5" s="44"/>
      <c r="CF5" s="75"/>
      <c r="CG5" s="44"/>
      <c r="CH5" s="1335"/>
      <c r="CI5" s="1336" t="s">
        <v>558</v>
      </c>
      <c r="CJ5" s="1324"/>
      <c r="CK5" s="1326"/>
      <c r="CL5" s="7"/>
      <c r="CM5" s="7"/>
      <c r="CN5" s="7"/>
      <c r="CO5" s="7"/>
      <c r="CP5" s="7"/>
      <c r="CQ5" s="1354" t="s">
        <v>575</v>
      </c>
      <c r="CR5" s="34" t="s">
        <v>87</v>
      </c>
      <c r="CS5" s="47" t="str">
        <f>IF(OR($AD$11="",CS4=""),"",$AD$11/$CS$4)</f>
        <v/>
      </c>
      <c r="CU5" s="1327" t="str">
        <f>IF(OR($AE$11="",CU4=""),"",$AE$11/$CU$4)</f>
        <v/>
      </c>
      <c r="CV5" s="1017"/>
      <c r="CW5" s="1017"/>
      <c r="CX5" s="1017"/>
      <c r="CY5" s="1017"/>
      <c r="CZ5" s="1017"/>
      <c r="DA5" s="1017"/>
      <c r="DB5" s="1017"/>
      <c r="DC5" s="1017"/>
      <c r="DD5" s="1017"/>
      <c r="DE5" s="1017"/>
      <c r="DF5" s="1017"/>
      <c r="DG5" s="1017"/>
      <c r="DH5" s="1017"/>
      <c r="DI5" s="1017"/>
      <c r="DJ5" s="1017"/>
      <c r="DK5" s="1017"/>
      <c r="DL5" s="1017"/>
      <c r="DM5" s="1017"/>
      <c r="DN5" s="1017"/>
      <c r="DO5" s="1017"/>
      <c r="DP5" s="1017"/>
    </row>
    <row r="6" spans="1:120" ht="22.35" customHeight="1" thickTop="1" thickBot="1">
      <c r="A6" s="75"/>
      <c r="B6" s="1114"/>
      <c r="C6" s="1761" t="s">
        <v>106</v>
      </c>
      <c r="D6" s="1761"/>
      <c r="E6" s="1761"/>
      <c r="F6" s="1761"/>
      <c r="G6" s="1761"/>
      <c r="H6" s="1320"/>
      <c r="I6" s="191"/>
      <c r="J6" s="1039" t="s">
        <v>127</v>
      </c>
      <c r="K6" s="1040"/>
      <c r="L6" s="1040"/>
      <c r="M6" s="1040"/>
      <c r="N6" s="1040"/>
      <c r="O6" s="1607"/>
      <c r="Q6" s="1196"/>
      <c r="R6" s="1099"/>
      <c r="S6" s="75"/>
      <c r="T6" s="1142"/>
      <c r="U6" s="75"/>
      <c r="W6" s="1067" t="s">
        <v>48</v>
      </c>
      <c r="X6" s="995"/>
      <c r="Y6" s="995"/>
      <c r="Z6" s="995"/>
      <c r="AA6" s="207"/>
      <c r="AB6" s="207"/>
      <c r="AC6" s="207"/>
      <c r="AD6" s="1075" t="str">
        <f>IF(OR($H$7="",$H$8="",$H$9=""),"",IF($H$9&lt;0,$CO$8,IF($H$9&gt;0,$CO$9,0)))</f>
        <v/>
      </c>
      <c r="AF6" s="1290"/>
      <c r="AG6" s="1264"/>
      <c r="AH6" s="1142"/>
      <c r="AI6" s="75"/>
      <c r="AJ6" s="1003"/>
      <c r="AK6" s="75"/>
      <c r="AL6" s="75"/>
      <c r="AM6" s="909"/>
      <c r="AN6" s="909"/>
      <c r="AO6" s="75"/>
      <c r="AQ6" s="44"/>
      <c r="AR6" s="75"/>
      <c r="AS6" s="75"/>
      <c r="AT6" s="75"/>
      <c r="AU6" s="75"/>
      <c r="AV6" s="75"/>
      <c r="AW6" s="75"/>
      <c r="AX6" s="75"/>
      <c r="AY6" s="75"/>
      <c r="AZ6" s="75"/>
      <c r="BA6" s="75"/>
      <c r="BB6" s="75"/>
      <c r="BC6" s="75"/>
      <c r="BD6" s="75"/>
      <c r="BE6" s="75"/>
      <c r="BF6" s="75"/>
      <c r="BG6" s="75"/>
      <c r="BH6" s="75"/>
      <c r="BI6" s="75"/>
      <c r="BJ6" s="75"/>
      <c r="BK6" s="75"/>
      <c r="BL6" s="75"/>
      <c r="BM6" s="75"/>
      <c r="BN6" s="44"/>
      <c r="BO6" s="44"/>
      <c r="BP6" s="44"/>
      <c r="BQ6" s="44"/>
      <c r="BR6" s="44"/>
      <c r="BS6" s="44"/>
      <c r="BT6" s="44"/>
      <c r="BU6" s="44"/>
      <c r="BV6" s="44"/>
      <c r="BW6" s="44"/>
      <c r="BX6" s="75"/>
      <c r="BY6" s="75"/>
      <c r="BZ6" s="75"/>
      <c r="CA6" s="75"/>
      <c r="CB6" s="44"/>
      <c r="CC6" s="44"/>
      <c r="CD6" s="44"/>
      <c r="CE6" s="44"/>
      <c r="CF6" s="75"/>
      <c r="CG6" s="44"/>
      <c r="CH6" s="1337" t="s">
        <v>569</v>
      </c>
      <c r="CI6" s="7"/>
      <c r="CJ6" s="7" t="s">
        <v>242</v>
      </c>
      <c r="CK6" s="1338" t="s">
        <v>243</v>
      </c>
      <c r="CL6" s="7"/>
      <c r="CM6" s="7"/>
      <c r="CO6" s="7" t="s">
        <v>242</v>
      </c>
      <c r="CP6" s="7" t="s">
        <v>243</v>
      </c>
      <c r="CQ6" s="1354" t="s">
        <v>574</v>
      </c>
      <c r="CR6" s="34" t="s">
        <v>86</v>
      </c>
      <c r="CS6" s="50" t="str">
        <f>IF(OR(AA$43="",$AD$11=""),"",AA$43-$AD$11)</f>
        <v/>
      </c>
      <c r="CU6" s="1328" t="str">
        <f>IF(OR(AC$43="",$AE$11=""),"",AC$43-CU9)</f>
        <v/>
      </c>
      <c r="CV6" s="1017"/>
      <c r="CW6" s="1017"/>
      <c r="CX6" s="1017"/>
      <c r="CY6" s="1017"/>
      <c r="CZ6" s="1017"/>
      <c r="DA6" s="1017"/>
      <c r="DB6" s="1017"/>
      <c r="DC6" s="1017"/>
      <c r="DD6" s="1017"/>
      <c r="DE6" s="1017"/>
      <c r="DF6" s="1017"/>
      <c r="DG6" s="1017"/>
      <c r="DH6" s="1017"/>
      <c r="DI6" s="1017"/>
      <c r="DJ6" s="1017"/>
      <c r="DK6" s="1017"/>
      <c r="DL6" s="1017"/>
      <c r="DM6" s="1017"/>
      <c r="DN6" s="1017"/>
      <c r="DO6" s="1017"/>
      <c r="DP6" s="1017"/>
    </row>
    <row r="7" spans="1:120" ht="22.5" customHeight="1" thickTop="1" thickBot="1">
      <c r="A7" s="75"/>
      <c r="B7" s="1115"/>
      <c r="C7" s="1762" t="s">
        <v>63</v>
      </c>
      <c r="D7" s="1762"/>
      <c r="E7" s="1762"/>
      <c r="F7" s="1762"/>
      <c r="G7" s="1762"/>
      <c r="H7" s="1320"/>
      <c r="I7" s="191"/>
      <c r="J7" s="1041" t="s">
        <v>198</v>
      </c>
      <c r="K7" s="1042"/>
      <c r="L7" s="1042"/>
      <c r="M7" s="1042"/>
      <c r="N7" s="1042"/>
      <c r="O7" s="1608"/>
      <c r="Q7" s="1196" t="str">
        <f>IF($H$7="Dry",IF($O$7&gt;0,"Check MS",""),IF(OR($O$7&lt;0.3,$O$7&gt;3),"Check MS",""))</f>
        <v>Check MS</v>
      </c>
      <c r="R7" s="1099"/>
      <c r="S7" s="75"/>
      <c r="T7" s="1142"/>
      <c r="U7" s="75"/>
      <c r="W7" s="1262" t="s">
        <v>40</v>
      </c>
      <c r="X7" s="1314"/>
      <c r="Y7" s="1314"/>
      <c r="Z7" s="1314"/>
      <c r="AA7" s="30"/>
      <c r="AB7" s="30"/>
      <c r="AC7" s="30"/>
      <c r="AD7" s="1076">
        <f>IF($O$10="Enter PSC","",$CJ$12)</f>
        <v>0</v>
      </c>
      <c r="AF7" s="1290"/>
      <c r="AG7" s="1264"/>
      <c r="AH7" s="1142"/>
      <c r="AI7" s="75"/>
      <c r="AJ7" s="1003"/>
      <c r="AK7" s="75"/>
      <c r="AL7" s="909"/>
      <c r="AM7" s="909"/>
      <c r="AN7" s="909"/>
      <c r="AO7" s="75"/>
      <c r="AQ7" s="44"/>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44"/>
      <c r="BU7" s="44"/>
      <c r="BV7" s="44"/>
      <c r="BW7" s="44"/>
      <c r="BX7" s="75"/>
      <c r="BY7" s="75"/>
      <c r="BZ7" s="75"/>
      <c r="CA7" s="75"/>
      <c r="CB7" s="44"/>
      <c r="CC7" s="44"/>
      <c r="CD7" s="44"/>
      <c r="CE7" s="44"/>
      <c r="CF7" s="75"/>
      <c r="CG7" s="44"/>
      <c r="CH7" s="1339" t="s">
        <v>570</v>
      </c>
      <c r="CI7" s="34" t="s">
        <v>83</v>
      </c>
      <c r="CJ7" s="35" t="str">
        <f>IF($H$7="","",VLOOKUP($H$7,'Data source'!$B$251:$C$254,2,FALSE))</f>
        <v/>
      </c>
      <c r="CK7" s="1340" t="str">
        <f>$CJ$7</f>
        <v/>
      </c>
      <c r="CM7" s="34" t="s">
        <v>82</v>
      </c>
      <c r="CO7" s="37" t="str">
        <f>IF(OR(H8="",H9=""),"",ABS($H$8*0.0658*$H$9)/30)</f>
        <v/>
      </c>
      <c r="CP7" s="37" t="str">
        <f>$CO$7</f>
        <v/>
      </c>
      <c r="CQ7" s="1351" t="s">
        <v>573</v>
      </c>
      <c r="CR7" s="34" t="s">
        <v>50</v>
      </c>
      <c r="CS7" s="1266" t="str">
        <f>IF(OR(CS6="",CS4=""),"",$CS$6/$CS$4)</f>
        <v/>
      </c>
      <c r="CT7" s="7"/>
      <c r="CU7" s="1329" t="e">
        <f>IF($CU$4="","",$CU$6/$CU$4)</f>
        <v>#VALUE!</v>
      </c>
      <c r="CV7" s="1019"/>
      <c r="CW7" s="1021"/>
      <c r="CX7" s="1017"/>
      <c r="CY7" s="1021"/>
      <c r="CZ7" s="1017"/>
      <c r="DA7" s="1017"/>
      <c r="DB7" s="1017"/>
      <c r="DC7" s="1017"/>
      <c r="DD7" s="1017"/>
      <c r="DE7" s="1017"/>
      <c r="DF7" s="1017"/>
      <c r="DG7" s="1017"/>
      <c r="DH7" s="1017"/>
      <c r="DI7" s="1017"/>
      <c r="DJ7" s="1017"/>
      <c r="DK7" s="1017"/>
      <c r="DL7" s="1017"/>
      <c r="DM7" s="1017"/>
      <c r="DN7" s="1017"/>
      <c r="DO7" s="1017"/>
      <c r="DP7" s="1017"/>
    </row>
    <row r="8" spans="1:120" ht="21.75" customHeight="1" thickTop="1" thickBot="1">
      <c r="A8" s="75"/>
      <c r="B8" s="1114"/>
      <c r="C8" s="1761" t="s">
        <v>241</v>
      </c>
      <c r="D8" s="1761"/>
      <c r="E8" s="1761"/>
      <c r="F8" s="1761"/>
      <c r="G8" s="1761"/>
      <c r="H8" s="1321"/>
      <c r="I8" s="1309"/>
      <c r="J8" s="1043" t="s">
        <v>105</v>
      </c>
      <c r="K8" s="924"/>
      <c r="L8" s="924"/>
      <c r="M8" s="924"/>
      <c r="N8" s="924"/>
      <c r="O8" s="1321"/>
      <c r="Q8" s="191"/>
      <c r="R8" s="1099"/>
      <c r="S8" s="75"/>
      <c r="T8" s="1142"/>
      <c r="U8" s="75"/>
      <c r="W8" s="1067" t="s">
        <v>46</v>
      </c>
      <c r="X8" s="995"/>
      <c r="Y8" s="995"/>
      <c r="Z8" s="995"/>
      <c r="AA8" s="995"/>
      <c r="AB8" s="995"/>
      <c r="AC8" s="995"/>
      <c r="AD8" s="1256" t="str">
        <f>IF(OR($O$8="",$O$9=""),"",$CJ$13*$O$9)</f>
        <v/>
      </c>
      <c r="AF8" s="1290"/>
      <c r="AG8" s="1264"/>
      <c r="AH8" s="1142"/>
      <c r="AI8" s="75"/>
      <c r="AJ8" s="1003"/>
      <c r="AK8" s="75"/>
      <c r="AL8" s="1234"/>
      <c r="AM8" s="909"/>
      <c r="AN8" s="909"/>
      <c r="AO8" s="75"/>
      <c r="AQ8" s="44"/>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44"/>
      <c r="BU8" s="44"/>
      <c r="BV8" s="44"/>
      <c r="BW8" s="44"/>
      <c r="BX8" s="44"/>
      <c r="BY8" s="75"/>
      <c r="BZ8" s="75"/>
      <c r="CA8" s="75"/>
      <c r="CB8" s="44"/>
      <c r="CC8" s="44"/>
      <c r="CD8" s="44"/>
      <c r="CE8" s="44"/>
      <c r="CF8" s="75"/>
      <c r="CG8" s="44"/>
      <c r="CH8" s="1337"/>
      <c r="CI8" s="34" t="s">
        <v>68</v>
      </c>
      <c r="CJ8" s="35" t="str">
        <f xml:space="preserve"> IF($H$6="","",IF($H$6="Jersey","j",IF($H$6="Friesian","f",IF($H$6="cross-bred","x","-"))))</f>
        <v/>
      </c>
      <c r="CK8" s="1340" t="str">
        <f>$CJ$8</f>
        <v/>
      </c>
      <c r="CM8" s="34" t="s">
        <v>80</v>
      </c>
      <c r="CO8" s="38" t="str">
        <f xml:space="preserve"> IF($H$7="","",IF($H$7="dry",$CO$7*-30,$CO$7*-37))</f>
        <v/>
      </c>
      <c r="CP8" s="38" t="str">
        <f>$CO$8</f>
        <v/>
      </c>
      <c r="CQ8" s="1351" t="s">
        <v>571</v>
      </c>
      <c r="CR8" s="34" t="s">
        <v>461</v>
      </c>
      <c r="CS8" s="1330">
        <f>IF(AND(CS4&gt;7.5,CS4&lt;8.5),1.15,IF(AND(CS4&gt;8.5,CS4&lt;9.5),1.1,IF(AND(CS4&gt;=9.5,CS4&lt;10.5),1.05,IF(AND(CS4&gt;=10.5,CS4&lt;11.5),1,IF(AND(CS4&gt;=11.5,CS4&lt;12.5),0.95,IF(CS4&gt;12.5,0.9,""))))))</f>
        <v>1</v>
      </c>
      <c r="CT8" s="8"/>
      <c r="CU8" s="1331">
        <f>IF(AND(CU4&gt;7.5,CU4&lt;8.5),1.15,IF(AND(CU4&gt;8.5,CU4&lt;9.5),1.1,IF(AND(CU4&gt;=9.5,CU4&lt;10.5),1.05,IF(AND(CU4&gt;=10.5,CU4&lt;11.5),1,IF(AND(CU4&gt;=11.5,CU4&lt;12.5),0.95,IF(CU4&gt;12.5,0.9,""))))))</f>
        <v>1</v>
      </c>
      <c r="CV8" s="1019"/>
      <c r="CW8" s="1017"/>
      <c r="CX8" s="1017"/>
      <c r="CY8" s="1017"/>
      <c r="CZ8" s="1017"/>
      <c r="DA8" s="1017"/>
      <c r="DB8" s="1017"/>
      <c r="DC8" s="1017"/>
      <c r="DD8" s="1017"/>
      <c r="DE8" s="1017"/>
      <c r="DF8" s="1017"/>
      <c r="DG8" s="1017"/>
      <c r="DH8" s="1017"/>
      <c r="DI8" s="1017"/>
      <c r="DJ8" s="1017"/>
      <c r="DK8" s="1017"/>
      <c r="DL8" s="1017"/>
      <c r="DM8" s="1017"/>
      <c r="DN8" s="1017"/>
      <c r="DO8" s="1017"/>
      <c r="DP8" s="1017"/>
    </row>
    <row r="9" spans="1:120" ht="21.75" customHeight="1" thickTop="1" thickBot="1">
      <c r="A9" s="75"/>
      <c r="B9" s="1115"/>
      <c r="C9" s="1762" t="s">
        <v>253</v>
      </c>
      <c r="D9" s="1762"/>
      <c r="E9" s="1762"/>
      <c r="F9" s="1762"/>
      <c r="G9" s="1762"/>
      <c r="H9" s="1488"/>
      <c r="I9" s="1483" t="s">
        <v>395</v>
      </c>
      <c r="J9" s="1041" t="s">
        <v>412</v>
      </c>
      <c r="K9" s="1042"/>
      <c r="L9" s="1042"/>
      <c r="M9" s="1042"/>
      <c r="N9" s="1042"/>
      <c r="O9" s="1608"/>
      <c r="Q9" s="1196" t="str">
        <f>IF(O9&lt;15,"","Check distance")</f>
        <v/>
      </c>
      <c r="R9" s="1099"/>
      <c r="S9" s="75"/>
      <c r="T9" s="1142"/>
      <c r="U9" s="75"/>
      <c r="W9" s="1469" t="s">
        <v>477</v>
      </c>
      <c r="X9" s="1470"/>
      <c r="Y9" s="1470"/>
      <c r="Z9" s="1471"/>
      <c r="AA9" s="1472"/>
      <c r="AB9" s="1473"/>
      <c r="AC9" s="1474"/>
      <c r="AD9" s="1475" t="str">
        <f>IF(SUM(AD4:AD8)&gt;0,SUM(AD4:AD8),"")</f>
        <v/>
      </c>
      <c r="AE9" s="1502" t="s">
        <v>566</v>
      </c>
      <c r="AF9" s="1290"/>
      <c r="AG9" s="1264"/>
      <c r="AH9" s="1142"/>
      <c r="AI9" s="75"/>
      <c r="AJ9" s="1003"/>
      <c r="AK9" s="75"/>
      <c r="AL9" s="909"/>
      <c r="AM9" s="909"/>
      <c r="AN9" s="909"/>
      <c r="AO9" s="75"/>
      <c r="AQ9" s="44"/>
      <c r="AR9" s="75"/>
      <c r="AS9" s="75"/>
      <c r="AT9" s="75"/>
      <c r="AU9" s="75"/>
      <c r="AV9" s="75"/>
      <c r="AW9" s="75"/>
      <c r="AX9" s="75"/>
      <c r="AY9" s="75"/>
      <c r="AZ9" s="75"/>
      <c r="BA9" s="75"/>
      <c r="BB9" s="75"/>
      <c r="BC9" s="75"/>
      <c r="BD9" s="75"/>
      <c r="BE9" s="75"/>
      <c r="BF9" s="75"/>
      <c r="BG9" s="75"/>
      <c r="BH9" s="75"/>
      <c r="BI9" s="75"/>
      <c r="BJ9" s="75"/>
      <c r="BK9" s="75"/>
      <c r="BL9" s="75"/>
      <c r="BM9" s="75"/>
      <c r="BN9" s="44"/>
      <c r="BO9" s="44"/>
      <c r="BP9" s="44"/>
      <c r="BQ9" s="44"/>
      <c r="BR9" s="44"/>
      <c r="BS9" s="44"/>
      <c r="BT9" s="993"/>
      <c r="BU9" s="44"/>
      <c r="BV9" s="44"/>
      <c r="BW9" s="44"/>
      <c r="BX9" s="44"/>
      <c r="BY9" s="75"/>
      <c r="BZ9" s="75"/>
      <c r="CA9" s="75"/>
      <c r="CB9" s="44"/>
      <c r="CC9" s="44"/>
      <c r="CD9" s="44"/>
      <c r="CE9" s="44"/>
      <c r="CF9" s="75"/>
      <c r="CG9" s="44"/>
      <c r="CH9" s="1337"/>
      <c r="CI9" s="34"/>
      <c r="CJ9" s="48"/>
      <c r="CK9" s="1341"/>
      <c r="CM9" s="34" t="s">
        <v>81</v>
      </c>
      <c r="CO9" s="38" t="str">
        <f>IF($H$7="","",IF($H$7="dry",$CO$7*72,$CO$7*50))</f>
        <v/>
      </c>
      <c r="CP9" s="37" t="str">
        <f>$CO$9</f>
        <v/>
      </c>
      <c r="CQ9" s="1352" t="s">
        <v>572</v>
      </c>
      <c r="CR9" s="1353" t="s">
        <v>476</v>
      </c>
      <c r="CS9" s="1332" t="str">
        <f>AD11</f>
        <v/>
      </c>
      <c r="CT9" s="1333"/>
      <c r="CU9" s="1334" t="e">
        <f>$AD$9*CU8</f>
        <v>#VALUE!</v>
      </c>
      <c r="CV9" s="1019"/>
      <c r="CW9" s="1017"/>
      <c r="CX9" s="1017"/>
      <c r="CY9" s="1017"/>
      <c r="CZ9" s="1017"/>
      <c r="DA9" s="1017"/>
      <c r="DB9" s="1017"/>
      <c r="DC9" s="1017"/>
      <c r="DD9" s="1017"/>
      <c r="DE9" s="1017"/>
      <c r="DF9" s="1017"/>
      <c r="DG9" s="1017"/>
      <c r="DH9" s="1017"/>
      <c r="DI9" s="1017"/>
      <c r="DJ9" s="1017"/>
      <c r="DK9" s="1017"/>
      <c r="DL9" s="1017"/>
      <c r="DM9" s="1017"/>
      <c r="DN9" s="1017"/>
      <c r="DO9" s="1017"/>
      <c r="DP9" s="1017"/>
    </row>
    <row r="10" spans="1:120" ht="21.75" customHeight="1" thickTop="1" thickBot="1">
      <c r="A10" s="75"/>
      <c r="B10" s="1114"/>
      <c r="C10" s="1761" t="s">
        <v>357</v>
      </c>
      <c r="D10" s="1761"/>
      <c r="E10" s="1761"/>
      <c r="F10" s="1761"/>
      <c r="G10" s="1761"/>
      <c r="H10" s="1606"/>
      <c r="I10" s="1309"/>
      <c r="J10" s="1044" t="s">
        <v>358</v>
      </c>
      <c r="K10" s="1045"/>
      <c r="L10" s="1045"/>
      <c r="M10" s="1045"/>
      <c r="N10" s="1045"/>
      <c r="O10" s="1310" t="str">
        <f>IF($H$10="","",IF(N3="",(H10-E3)/7,(H10-N3)/7))</f>
        <v/>
      </c>
      <c r="Q10" s="1197" t="str">
        <f>IF($H$10="","Enter PSC","")</f>
        <v>Enter PSC</v>
      </c>
      <c r="R10" s="1099"/>
      <c r="S10" s="75"/>
      <c r="T10" s="1142"/>
      <c r="U10" s="75"/>
      <c r="W10" s="1260" t="s">
        <v>478</v>
      </c>
      <c r="X10" s="1177"/>
      <c r="Y10" s="1177"/>
      <c r="Z10" s="1177"/>
      <c r="AA10" s="1177"/>
      <c r="AB10" s="865"/>
      <c r="AC10" s="1261"/>
      <c r="AD10" s="1322" t="str">
        <f>IF($AD$9="","",$CS$8)</f>
        <v/>
      </c>
      <c r="AE10" s="1456" t="str">
        <f>IF($AD$9="","",$CU$8)</f>
        <v/>
      </c>
      <c r="AF10" s="1290"/>
      <c r="AG10" s="1264"/>
      <c r="AH10" s="1142"/>
      <c r="AI10" s="75"/>
      <c r="AJ10" s="1003"/>
      <c r="AK10" s="75"/>
      <c r="AL10" s="909"/>
      <c r="AM10" s="909"/>
      <c r="AN10" s="909"/>
      <c r="AO10" s="75"/>
      <c r="AQ10" s="44"/>
      <c r="AR10" s="75"/>
      <c r="AS10" s="75"/>
      <c r="AT10" s="75"/>
      <c r="AU10" s="75"/>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75"/>
      <c r="CG10" s="44"/>
      <c r="CH10" s="1342"/>
      <c r="CI10" s="34" t="s">
        <v>77</v>
      </c>
      <c r="CJ10" s="77" t="str">
        <f>IF(O10="Enter PSC","",IF($O$10&gt;12,"12+",$O$10))</f>
        <v>12+</v>
      </c>
      <c r="CK10" s="1343" t="str">
        <f>$CJ$10</f>
        <v>12+</v>
      </c>
      <c r="CM10" s="34"/>
      <c r="CN10" s="7"/>
      <c r="CO10" s="38"/>
      <c r="CP10" s="37"/>
      <c r="CQ10"/>
      <c r="CV10" s="1019"/>
      <c r="CW10" s="1018"/>
      <c r="CX10" s="1019"/>
      <c r="CY10" s="1018"/>
      <c r="CZ10" s="1017"/>
      <c r="DA10" s="1017"/>
      <c r="DB10" s="1017"/>
      <c r="DC10" s="1017"/>
      <c r="DD10" s="1017"/>
      <c r="DE10" s="1017"/>
      <c r="DF10" s="1017"/>
      <c r="DG10" s="1017"/>
      <c r="DH10" s="1017"/>
      <c r="DI10" s="1017"/>
      <c r="DJ10" s="1017"/>
      <c r="DK10" s="1017"/>
      <c r="DL10" s="1017"/>
      <c r="DM10" s="1017"/>
      <c r="DN10" s="1017"/>
      <c r="DO10" s="1017"/>
      <c r="DP10" s="1017"/>
    </row>
    <row r="11" spans="1:120" ht="19.5" customHeight="1" thickTop="1" thickBot="1">
      <c r="A11" s="75"/>
      <c r="B11" s="1116"/>
      <c r="C11" s="1117"/>
      <c r="D11" s="1085"/>
      <c r="E11" s="1047"/>
      <c r="F11" s="1047"/>
      <c r="G11" s="1047"/>
      <c r="H11" s="1047"/>
      <c r="I11" s="1047"/>
      <c r="J11" s="1484" t="str">
        <f>IF(P10="Enter PSC","",IF(OR(P10&gt;52,P10&lt;0),"Check PSC date for the next calving",""))</f>
        <v/>
      </c>
      <c r="K11" s="1047"/>
      <c r="L11" s="1118"/>
      <c r="M11" s="1047"/>
      <c r="N11" s="1484" t="str">
        <f>IF(Q10="Enter PSC","",IF(OR(O10&gt;52,O10&lt;0),"Check PSC date for the next calving",""))</f>
        <v/>
      </c>
      <c r="O11" s="1119"/>
      <c r="P11" s="1119"/>
      <c r="Q11" s="1119"/>
      <c r="R11" s="1121"/>
      <c r="S11" s="178"/>
      <c r="T11" s="1145"/>
      <c r="U11" s="178"/>
      <c r="W11" s="1476" t="s">
        <v>476</v>
      </c>
      <c r="X11" s="1477"/>
      <c r="Y11" s="1477"/>
      <c r="Z11" s="1478"/>
      <c r="AA11" s="1479" t="s">
        <v>471</v>
      </c>
      <c r="AB11" s="1480">
        <f>CS4</f>
        <v>11</v>
      </c>
      <c r="AC11" s="1480"/>
      <c r="AD11" s="1481" t="str">
        <f>IF($AD$9="","",$AD$9*$AD$10)</f>
        <v/>
      </c>
      <c r="AE11" s="1457" t="str">
        <f>IF($AD$9="","",$AD$9*$AE$10)</f>
        <v/>
      </c>
      <c r="AF11" s="1290"/>
      <c r="AG11" s="1265"/>
      <c r="AH11" s="1142"/>
      <c r="AI11" s="1263"/>
      <c r="AJ11" s="1003"/>
      <c r="AK11" s="75"/>
      <c r="AL11" s="1123"/>
      <c r="AM11" s="1123"/>
      <c r="AN11" s="1123"/>
      <c r="AO11" s="75"/>
      <c r="AQ11" s="44"/>
      <c r="AR11" s="75"/>
      <c r="AS11" s="75"/>
      <c r="AT11" s="75"/>
      <c r="AU11" s="75"/>
      <c r="AV11" s="923"/>
      <c r="AW11" s="44"/>
      <c r="AX11" s="923"/>
      <c r="AY11" s="44"/>
      <c r="AZ11" s="923"/>
      <c r="BA11" s="44"/>
      <c r="BB11" s="923"/>
      <c r="BC11" s="44"/>
      <c r="BD11" s="923"/>
      <c r="BE11" s="923"/>
      <c r="BF11" s="44"/>
      <c r="BG11" s="44"/>
      <c r="BH11" s="923"/>
      <c r="BI11" s="923"/>
      <c r="BJ11" s="44"/>
      <c r="BK11" s="44"/>
      <c r="BL11" s="923"/>
      <c r="BM11" s="44"/>
      <c r="BN11" s="1066"/>
      <c r="BO11" s="1066"/>
      <c r="BP11" s="1066"/>
      <c r="BQ11" s="1066"/>
      <c r="BR11" s="1066"/>
      <c r="BS11" s="1066"/>
      <c r="BT11" s="1066"/>
      <c r="BU11" s="44"/>
      <c r="BV11" s="1777"/>
      <c r="BW11" s="1777"/>
      <c r="BX11" s="44"/>
      <c r="BY11" s="44"/>
      <c r="BZ11" s="44"/>
      <c r="CA11" s="44"/>
      <c r="CB11" s="44"/>
      <c r="CC11" s="44"/>
      <c r="CD11" s="75"/>
      <c r="CE11" s="75"/>
      <c r="CF11" s="75"/>
      <c r="CG11" s="44"/>
      <c r="CH11" s="1339" t="s">
        <v>559</v>
      </c>
      <c r="CI11" s="34" t="s">
        <v>78</v>
      </c>
      <c r="CJ11" s="35" t="str">
        <f>IF($H$6="","",VLOOKUP($H$6,'Data source'!$B$203:$C$205,2,FALSE))</f>
        <v/>
      </c>
      <c r="CK11" s="1340" t="str">
        <f>$CJ$11</f>
        <v/>
      </c>
      <c r="CL11" t="s">
        <v>40</v>
      </c>
      <c r="CM11" s="34">
        <f>IF(CJ14="12",CM12,IF(CJ14="8",CM13,IF(CJ14="4",CM14,IF(CJ14="2",CM15,0))))</f>
        <v>0</v>
      </c>
      <c r="CN11" s="7"/>
      <c r="CO11" s="41"/>
      <c r="CP11" s="571"/>
      <c r="CQ11"/>
      <c r="CV11" s="1017"/>
      <c r="CW11" s="1017"/>
      <c r="CX11" s="1017"/>
      <c r="CY11" s="1017"/>
      <c r="CZ11" s="1017"/>
      <c r="DA11" s="1017"/>
      <c r="DB11" s="1017"/>
      <c r="DC11" s="1017"/>
      <c r="DD11" s="1017"/>
      <c r="DE11" s="1017"/>
      <c r="DF11" s="1017"/>
      <c r="DG11" s="1017"/>
      <c r="DH11" s="1017"/>
      <c r="DI11" s="1017"/>
      <c r="DJ11" s="1017"/>
      <c r="DK11" s="1017"/>
      <c r="DL11" s="1017"/>
      <c r="DM11" s="1017"/>
      <c r="DN11" s="1017"/>
      <c r="DO11" s="1017"/>
      <c r="DP11" s="1017"/>
    </row>
    <row r="12" spans="1:120" ht="19.5" customHeight="1">
      <c r="A12" s="75"/>
      <c r="B12" s="44"/>
      <c r="C12" s="44"/>
      <c r="D12" s="899"/>
      <c r="E12" s="907"/>
      <c r="F12" s="44"/>
      <c r="G12" s="44"/>
      <c r="H12" s="44"/>
      <c r="I12" s="44"/>
      <c r="J12" s="44"/>
      <c r="K12" s="44"/>
      <c r="L12" s="75"/>
      <c r="M12" s="75"/>
      <c r="N12" s="75"/>
      <c r="O12" s="75"/>
      <c r="P12" s="75"/>
      <c r="Q12" s="75"/>
      <c r="R12" s="75"/>
      <c r="S12" s="75"/>
      <c r="T12" s="1142"/>
      <c r="U12" s="75"/>
      <c r="V12" s="1455"/>
      <c r="W12" s="1356" t="s">
        <v>363</v>
      </c>
      <c r="X12" s="1356"/>
      <c r="Y12" s="1258" t="str">
        <f>IF(OR(AD4="",AD5="",AD6="",AD7="",AD8="",AD9=""),"NO","YES")</f>
        <v>NO</v>
      </c>
      <c r="Z12" s="1356"/>
      <c r="AA12" s="105" t="s">
        <v>474</v>
      </c>
      <c r="AB12" s="1363">
        <f>CU4</f>
        <v>11</v>
      </c>
      <c r="AC12" s="1072" t="str">
        <f>IF(AD11="","i","")</f>
        <v>i</v>
      </c>
      <c r="AD12" s="75"/>
      <c r="AE12" s="7"/>
      <c r="AF12" s="1290"/>
      <c r="AG12" s="1264"/>
      <c r="AH12" s="1142"/>
      <c r="AI12" s="75"/>
      <c r="AJ12" s="75"/>
      <c r="AK12" s="75"/>
      <c r="AL12" s="75"/>
      <c r="AM12" s="75"/>
      <c r="AN12" s="75"/>
      <c r="AO12" s="908"/>
      <c r="AP12" s="908"/>
      <c r="AQ12" s="44"/>
      <c r="AR12" s="44"/>
      <c r="AS12" s="44"/>
      <c r="AT12" s="44"/>
      <c r="AU12" s="44"/>
      <c r="AV12" s="75"/>
      <c r="AW12" s="44"/>
      <c r="AX12" s="75"/>
      <c r="AY12" s="44"/>
      <c r="AZ12" s="75"/>
      <c r="BA12" s="44"/>
      <c r="BB12" s="75"/>
      <c r="BC12" s="44"/>
      <c r="BD12" s="75"/>
      <c r="BE12" s="75"/>
      <c r="BF12" s="44"/>
      <c r="BG12" s="44"/>
      <c r="BH12" s="75"/>
      <c r="BI12" s="75"/>
      <c r="BJ12" s="44"/>
      <c r="BK12" s="44"/>
      <c r="BL12" s="75"/>
      <c r="BM12" s="44"/>
      <c r="BN12" s="1053"/>
      <c r="BO12" s="1053"/>
      <c r="BP12" s="1053"/>
      <c r="BQ12" s="1053"/>
      <c r="BR12" s="1053"/>
      <c r="BS12" s="1053"/>
      <c r="BT12" s="1053"/>
      <c r="BU12" s="44"/>
      <c r="BV12" s="44"/>
      <c r="BW12" s="1048"/>
      <c r="BX12" s="44"/>
      <c r="BY12" s="44"/>
      <c r="BZ12" s="44"/>
      <c r="CA12" s="44"/>
      <c r="CB12" s="44"/>
      <c r="CC12" s="44"/>
      <c r="CD12" s="44"/>
      <c r="CE12" s="44"/>
      <c r="CF12" s="44"/>
      <c r="CG12" s="44"/>
      <c r="CH12" s="1342"/>
      <c r="CI12" s="34" t="s">
        <v>40</v>
      </c>
      <c r="CJ12" s="38">
        <f>$CM$11</f>
        <v>0</v>
      </c>
      <c r="CK12" s="1344">
        <f>$CJ$12</f>
        <v>0</v>
      </c>
      <c r="CL12" s="917">
        <v>12</v>
      </c>
      <c r="CM12" s="34" t="e">
        <f>VLOOKUP($H$8,'Data source'!$B$190:$H$199,4,FALSE)</f>
        <v>#N/A</v>
      </c>
      <c r="CN12" s="7"/>
      <c r="CO12" s="1273"/>
      <c r="CP12" s="571"/>
      <c r="CQ12"/>
      <c r="CV12" s="1019"/>
      <c r="CW12" s="1019"/>
      <c r="CX12" s="1019"/>
      <c r="CY12" s="1019"/>
      <c r="CZ12" s="1017"/>
      <c r="DA12" s="1017"/>
      <c r="DB12" s="1017"/>
      <c r="DC12" s="1017"/>
      <c r="DD12" s="1017"/>
      <c r="DE12" s="1017"/>
      <c r="DF12" s="1017"/>
      <c r="DG12" s="1017"/>
      <c r="DH12" s="1017"/>
      <c r="DI12" s="1017"/>
      <c r="DJ12" s="1017"/>
      <c r="DK12" s="1017"/>
      <c r="DL12" s="1017"/>
      <c r="DM12" s="1017"/>
      <c r="DN12" s="1017"/>
      <c r="DO12" s="1017"/>
      <c r="DP12" s="1017"/>
    </row>
    <row r="13" spans="1:120" ht="22.5" customHeight="1">
      <c r="A13" s="75"/>
      <c r="B13" s="1790" t="s">
        <v>441</v>
      </c>
      <c r="C13" s="1791"/>
      <c r="D13" s="1791"/>
      <c r="E13" s="1791"/>
      <c r="F13" s="1791"/>
      <c r="G13" s="1791"/>
      <c r="H13" s="1791"/>
      <c r="I13" s="1414"/>
      <c r="J13" s="1415" t="s">
        <v>428</v>
      </c>
      <c r="K13" s="1416"/>
      <c r="L13" s="1417"/>
      <c r="M13" s="1414"/>
      <c r="N13" s="1414"/>
      <c r="O13" s="1414"/>
      <c r="P13" s="1414"/>
      <c r="Q13" s="1414"/>
      <c r="R13" s="1418"/>
      <c r="S13" s="75"/>
      <c r="T13" s="1142"/>
      <c r="U13" s="75"/>
      <c r="AF13" s="1288"/>
      <c r="AG13" s="44"/>
      <c r="AH13" s="1142"/>
      <c r="AI13" s="75"/>
      <c r="AJ13" s="1073"/>
      <c r="AK13" s="75"/>
      <c r="AL13" s="75"/>
      <c r="AM13" s="75"/>
      <c r="AN13" s="75"/>
      <c r="AO13" s="75"/>
      <c r="AQ13" s="44"/>
      <c r="AR13" s="75"/>
      <c r="AS13" s="75"/>
      <c r="AT13" s="75"/>
      <c r="AU13" s="75"/>
      <c r="AV13" s="1054"/>
      <c r="AW13" s="1049"/>
      <c r="AX13" s="1050"/>
      <c r="AY13" s="44"/>
      <c r="AZ13" s="1048"/>
      <c r="BA13" s="44"/>
      <c r="BB13" s="44"/>
      <c r="BC13" s="1049"/>
      <c r="BD13" s="1051"/>
      <c r="BE13" s="1050"/>
      <c r="BF13" s="1051"/>
      <c r="BG13" s="1050"/>
      <c r="BH13" s="1051"/>
      <c r="BI13" s="1050"/>
      <c r="BJ13" s="1051"/>
      <c r="BK13" s="1052"/>
      <c r="BL13" s="1051"/>
      <c r="BM13" s="1048"/>
      <c r="BN13" s="1053"/>
      <c r="BO13" s="1053"/>
      <c r="BP13" s="1053"/>
      <c r="BQ13" s="1053"/>
      <c r="BR13" s="1053"/>
      <c r="BS13" s="1053"/>
      <c r="BT13" s="1053"/>
      <c r="BU13" s="44"/>
      <c r="BV13" s="44"/>
      <c r="BW13" s="1048"/>
      <c r="BX13" s="44"/>
      <c r="BY13" s="44"/>
      <c r="BZ13" s="44"/>
      <c r="CA13" s="44"/>
      <c r="CB13" s="44"/>
      <c r="CC13" s="44"/>
      <c r="CD13" s="44"/>
      <c r="CE13" s="44"/>
      <c r="CF13" s="44"/>
      <c r="CG13" s="44"/>
      <c r="CH13" s="1337"/>
      <c r="CI13" s="34" t="s">
        <v>45</v>
      </c>
      <c r="CJ13" s="37" t="str">
        <f>IF($O$8="","",VLOOKUP($O$8,'Data source'!$B$209:$C$211,2,FALSE))</f>
        <v/>
      </c>
      <c r="CK13" s="1343" t="str">
        <f>$CJ$13</f>
        <v/>
      </c>
      <c r="CL13">
        <v>8</v>
      </c>
      <c r="CM13" s="34" t="e">
        <f>VLOOKUP($H$8,'Data source'!$B$190:$H$199,5,FALSE)</f>
        <v>#N/A</v>
      </c>
      <c r="CN13" s="7"/>
      <c r="CO13" s="41"/>
      <c r="CP13" s="571"/>
      <c r="CQ13"/>
      <c r="CR13" t="s">
        <v>577</v>
      </c>
      <c r="CS13" s="3"/>
      <c r="CT13" s="3"/>
      <c r="CU13" s="1017"/>
      <c r="CV13" s="1017"/>
      <c r="CW13" s="1017"/>
      <c r="CX13" s="1017"/>
      <c r="CY13" s="1017"/>
      <c r="CZ13" s="1017"/>
      <c r="DA13" s="1017"/>
      <c r="DB13" s="1017"/>
      <c r="DC13" s="1017"/>
      <c r="DD13" s="1017"/>
      <c r="DE13" s="1017"/>
      <c r="DF13" s="1017"/>
      <c r="DG13" s="1017"/>
      <c r="DH13" s="1017"/>
      <c r="DI13" s="1017"/>
      <c r="DJ13" s="1017"/>
      <c r="DK13" s="1017"/>
      <c r="DL13" s="1017"/>
      <c r="DM13" s="1017"/>
      <c r="DN13" s="1017"/>
      <c r="DO13" s="1017"/>
      <c r="DP13" s="1017"/>
    </row>
    <row r="14" spans="1:120" ht="21.75" customHeight="1" thickBot="1">
      <c r="A14" s="75"/>
      <c r="B14" s="1419"/>
      <c r="C14" s="1038" t="s">
        <v>200</v>
      </c>
      <c r="J14" s="1314" t="s">
        <v>511</v>
      </c>
      <c r="K14" s="900"/>
      <c r="L14"/>
      <c r="M14"/>
      <c r="O14" s="1037"/>
      <c r="Q14" s="699" t="s">
        <v>314</v>
      </c>
      <c r="R14" s="1420"/>
      <c r="S14" s="75"/>
      <c r="T14" s="1142"/>
      <c r="U14" s="75"/>
      <c r="V14" s="1458"/>
      <c r="W14" s="1465" t="s">
        <v>475</v>
      </c>
      <c r="X14" s="1459"/>
      <c r="Y14" s="1459"/>
      <c r="Z14" s="1459"/>
      <c r="AA14" s="1459"/>
      <c r="AB14" s="1459"/>
      <c r="AC14" s="1459"/>
      <c r="AD14" s="1460"/>
      <c r="AE14" s="1461"/>
      <c r="AF14" s="1293" t="str">
        <f>IF(H7="Dry","YES","NO")</f>
        <v>NO</v>
      </c>
      <c r="AG14" s="44"/>
      <c r="AH14" s="1142"/>
      <c r="AI14" s="95"/>
      <c r="AJ14" s="75"/>
      <c r="AK14" s="75"/>
      <c r="AL14" s="75"/>
      <c r="AM14" s="75"/>
      <c r="AN14" s="75"/>
      <c r="AO14" s="75"/>
      <c r="AQ14" s="44"/>
      <c r="AR14" s="75"/>
      <c r="AS14" s="75"/>
      <c r="AT14" s="75"/>
      <c r="AU14" s="75"/>
      <c r="AV14" s="44"/>
      <c r="AW14" s="1049"/>
      <c r="AX14" s="1050"/>
      <c r="AY14" s="1056"/>
      <c r="AZ14" s="1057"/>
      <c r="BA14" s="1049"/>
      <c r="BB14" s="1049"/>
      <c r="BC14" s="1049"/>
      <c r="BD14" s="1051"/>
      <c r="BE14" s="1050"/>
      <c r="BF14" s="1051"/>
      <c r="BG14" s="1050"/>
      <c r="BH14" s="1051"/>
      <c r="BI14" s="1050"/>
      <c r="BJ14" s="1051"/>
      <c r="BK14" s="1052"/>
      <c r="BL14" s="1051"/>
      <c r="BM14" s="1048"/>
      <c r="BN14" s="1053"/>
      <c r="BO14" s="1053"/>
      <c r="BP14" s="1053"/>
      <c r="BQ14" s="1053"/>
      <c r="BR14" s="1053"/>
      <c r="BS14" s="1053"/>
      <c r="BT14" s="1053"/>
      <c r="BU14" s="44"/>
      <c r="BV14" s="44"/>
      <c r="BW14" s="1048"/>
      <c r="BX14" s="44"/>
      <c r="BY14" s="44"/>
      <c r="BZ14" s="44"/>
      <c r="CA14" s="44"/>
      <c r="CB14" s="44"/>
      <c r="CC14" s="44"/>
      <c r="CD14" s="44"/>
      <c r="CE14" s="44"/>
      <c r="CF14" s="44"/>
      <c r="CG14" s="44"/>
      <c r="CH14" s="1337"/>
      <c r="CI14" s="34" t="s">
        <v>385</v>
      </c>
      <c r="CJ14" s="77" t="str">
        <f>IF(O10="Enter PSC","",IF(O10&gt;12,"12+",IF(O10&gt;8,"12",IF(O10&gt;4,"8",IF(O10&gt;2,"4","2")))))</f>
        <v>12+</v>
      </c>
      <c r="CK14" s="1345" t="str">
        <f>$CJ$14</f>
        <v>12+</v>
      </c>
      <c r="CL14" s="5">
        <v>4</v>
      </c>
      <c r="CM14" s="34" t="e">
        <f>VLOOKUP($H$8,'Data source'!$B$190:$H$199,6,FALSE)</f>
        <v>#N/A</v>
      </c>
      <c r="CN14" s="5"/>
      <c r="CO14" s="5"/>
      <c r="CP14" s="5"/>
      <c r="CQ14" s="20"/>
      <c r="CR14" s="4" t="s">
        <v>519</v>
      </c>
      <c r="CS14" s="5"/>
      <c r="CT14" s="20"/>
      <c r="CU14" s="1017"/>
      <c r="CV14" s="1017"/>
      <c r="CW14" s="1017"/>
      <c r="CX14" s="1017"/>
      <c r="CY14" s="1017"/>
      <c r="CZ14" s="1017"/>
      <c r="DA14" s="1017"/>
      <c r="DB14" s="1017"/>
      <c r="DC14" s="1017"/>
      <c r="DD14" s="1017"/>
      <c r="DE14" s="1017"/>
      <c r="DF14" s="1017"/>
      <c r="DG14" s="1017"/>
      <c r="DH14" s="1017"/>
      <c r="DI14" s="1017"/>
      <c r="DJ14" s="1017"/>
      <c r="DK14" s="1017"/>
      <c r="DL14" s="1017"/>
      <c r="DM14" s="1017"/>
      <c r="DN14" s="1017"/>
      <c r="DO14" s="1017"/>
      <c r="DP14" s="1017"/>
    </row>
    <row r="15" spans="1:120" ht="21.75" customHeight="1" thickTop="1" thickBot="1">
      <c r="A15" s="75"/>
      <c r="B15" s="1421"/>
      <c r="C15" s="924" t="s">
        <v>303</v>
      </c>
      <c r="D15" s="974"/>
      <c r="E15" s="1781"/>
      <c r="F15" s="1782"/>
      <c r="G15" s="1782"/>
      <c r="H15" s="1783"/>
      <c r="J15" s="591" t="s">
        <v>307</v>
      </c>
      <c r="K15" s="974"/>
      <c r="L15" s="975"/>
      <c r="M15" s="975"/>
      <c r="N15" s="75"/>
      <c r="O15" s="1015"/>
      <c r="Q15" s="699" t="s">
        <v>314</v>
      </c>
      <c r="R15" s="1420"/>
      <c r="S15" s="75"/>
      <c r="T15" s="1142"/>
      <c r="U15" s="75"/>
      <c r="V15" s="1368"/>
      <c r="W15" s="1733" t="s">
        <v>457</v>
      </c>
      <c r="X15" s="1733"/>
      <c r="Y15" s="1733"/>
      <c r="Z15" s="1733"/>
      <c r="AA15" s="1733"/>
      <c r="AB15" s="1733"/>
      <c r="AC15" s="1733"/>
      <c r="AD15" s="1464" t="s">
        <v>180</v>
      </c>
      <c r="AE15" s="1462"/>
      <c r="AF15" s="1293" t="str">
        <f>IF(AND($H$7="Dry",$AD$15="YES"),"YES","NO")</f>
        <v>NO</v>
      </c>
      <c r="AG15" s="44"/>
      <c r="AH15" s="1142"/>
      <c r="AI15" s="95"/>
      <c r="AJ15" s="75"/>
      <c r="AK15" s="75"/>
      <c r="AL15" s="75"/>
      <c r="AM15" s="75"/>
      <c r="AN15" s="75"/>
      <c r="AO15" s="75"/>
      <c r="AQ15" s="44"/>
      <c r="AR15" s="75"/>
      <c r="AS15" s="75"/>
      <c r="AT15" s="75"/>
      <c r="AU15" s="75"/>
      <c r="AV15" s="44"/>
      <c r="AW15" s="1049"/>
      <c r="AX15" s="44"/>
      <c r="AY15" s="44"/>
      <c r="AZ15" s="44"/>
      <c r="BA15" s="44"/>
      <c r="BB15" s="44"/>
      <c r="BC15" s="44"/>
      <c r="BD15" s="1051"/>
      <c r="BE15" s="1050"/>
      <c r="BF15" s="1051"/>
      <c r="BG15" s="1050"/>
      <c r="BH15" s="1051"/>
      <c r="BI15" s="1050"/>
      <c r="BJ15" s="1051"/>
      <c r="BK15" s="1052"/>
      <c r="BL15" s="1051"/>
      <c r="BM15" s="1048"/>
      <c r="BN15" s="1053"/>
      <c r="BO15" s="1053"/>
      <c r="BP15" s="1053"/>
      <c r="BQ15" s="1053"/>
      <c r="BR15" s="1053"/>
      <c r="BS15" s="1053"/>
      <c r="BT15" s="1053"/>
      <c r="BU15" s="44"/>
      <c r="BV15" s="44"/>
      <c r="BW15" s="1048"/>
      <c r="BX15" s="44"/>
      <c r="BY15" s="44"/>
      <c r="BZ15" s="44"/>
      <c r="CA15" s="44"/>
      <c r="CB15" s="44"/>
      <c r="CC15" s="44"/>
      <c r="CD15" s="44"/>
      <c r="CE15" s="44"/>
      <c r="CF15" s="44"/>
      <c r="CG15" s="44"/>
      <c r="CH15" s="1346"/>
      <c r="CI15" s="1347"/>
      <c r="CJ15" s="1347"/>
      <c r="CK15" s="1348"/>
      <c r="CL15">
        <v>2</v>
      </c>
      <c r="CM15" s="34" t="e">
        <f>VLOOKUP($H$8,'Data source'!$B$190:$H$199,7,FALSE)</f>
        <v>#N/A</v>
      </c>
      <c r="CR15" s="1220" t="s">
        <v>496</v>
      </c>
      <c r="CS15" s="1281" t="str">
        <f>$Q$29</f>
        <v/>
      </c>
      <c r="CU15" s="1017"/>
      <c r="CV15" s="1017"/>
      <c r="CW15" s="1017"/>
      <c r="CX15" s="1017"/>
      <c r="CY15" s="1017"/>
      <c r="CZ15" s="1017"/>
      <c r="DA15" s="1017"/>
      <c r="DB15" s="1017"/>
      <c r="DC15" s="1017"/>
      <c r="DD15" s="1017"/>
      <c r="DE15" s="1017"/>
      <c r="DF15" s="1017"/>
      <c r="DG15" s="1017"/>
      <c r="DH15" s="1017"/>
      <c r="DI15" s="1017"/>
      <c r="DJ15" s="1017"/>
      <c r="DK15" s="1017"/>
      <c r="DL15" s="1017"/>
      <c r="DM15" s="1017"/>
      <c r="DN15" s="1017"/>
      <c r="DO15" s="1017"/>
      <c r="DP15" s="1017"/>
    </row>
    <row r="16" spans="1:120" ht="21" customHeight="1" thickTop="1" thickBot="1">
      <c r="A16" s="75"/>
      <c r="B16" s="1419"/>
      <c r="C16" s="1046" t="s">
        <v>154</v>
      </c>
      <c r="H16" s="1311" t="str">
        <f>IF(E15="","",VLOOKUP(E15,'Data source'!$B$4:$I$12,3,FALSE))</f>
        <v/>
      </c>
      <c r="J16" s="1314" t="s">
        <v>304</v>
      </c>
      <c r="K16" s="900"/>
      <c r="L16" s="862"/>
      <c r="M16" s="862"/>
      <c r="O16" s="996"/>
      <c r="Q16" s="699" t="s">
        <v>306</v>
      </c>
      <c r="R16" s="1420"/>
      <c r="S16" s="75"/>
      <c r="T16" s="1142"/>
      <c r="U16" s="75"/>
      <c r="V16" s="1368"/>
      <c r="W16" s="1733" t="s">
        <v>473</v>
      </c>
      <c r="X16" s="1733"/>
      <c r="Y16" s="1733"/>
      <c r="Z16" s="1733"/>
      <c r="AA16" s="1733"/>
      <c r="AB16" s="1733"/>
      <c r="AC16" s="1733"/>
      <c r="AD16" s="1463" t="s">
        <v>179</v>
      </c>
      <c r="AE16" s="1462"/>
      <c r="AF16" s="1291" t="str">
        <f>IF(AND($H$7="Dry",$AD$15="YES",$AD$16="YES"),"YES","NO")</f>
        <v>NO</v>
      </c>
      <c r="AG16" s="44"/>
      <c r="AH16" s="1142"/>
      <c r="AI16" s="95"/>
      <c r="AJ16" s="75"/>
      <c r="AK16" s="75"/>
      <c r="AL16" s="75"/>
      <c r="AM16" s="75"/>
      <c r="AN16" s="75"/>
      <c r="AO16" s="75"/>
      <c r="AQ16" s="44"/>
      <c r="AR16" s="75"/>
      <c r="AS16" s="75"/>
      <c r="AT16" s="75"/>
      <c r="AU16" s="75"/>
      <c r="AV16" s="1054"/>
      <c r="AW16" s="1049"/>
      <c r="AX16" s="1058"/>
      <c r="AY16" s="44"/>
      <c r="AZ16" s="1059"/>
      <c r="BA16" s="44"/>
      <c r="BB16" s="1060"/>
      <c r="BC16" s="1061"/>
      <c r="BD16" s="1051"/>
      <c r="BE16" s="1050"/>
      <c r="BF16" s="1051"/>
      <c r="BG16" s="1050"/>
      <c r="BH16" s="1051"/>
      <c r="BI16" s="1050"/>
      <c r="BJ16" s="1051"/>
      <c r="BK16" s="1276"/>
      <c r="BL16" s="1051"/>
      <c r="BM16" s="1048"/>
      <c r="BN16" s="1053"/>
      <c r="BO16" s="1275"/>
      <c r="BP16" s="1053"/>
      <c r="BQ16" s="1053"/>
      <c r="BR16" s="1053"/>
      <c r="BS16" s="1053"/>
      <c r="BT16" s="1053"/>
      <c r="BU16" s="44"/>
      <c r="BV16" s="44"/>
      <c r="BW16" s="1048"/>
      <c r="BX16" s="44"/>
      <c r="BY16" s="44"/>
      <c r="BZ16" s="44"/>
      <c r="CA16" s="44"/>
      <c r="CB16" s="44"/>
      <c r="CC16" s="44"/>
      <c r="CD16" s="44"/>
      <c r="CE16" s="44"/>
      <c r="CF16" s="44"/>
      <c r="CG16" s="44"/>
      <c r="CR16" s="1220" t="s">
        <v>497</v>
      </c>
      <c r="CS16" s="4" t="e">
        <f>$Q$29*0.9+$Q$30*0.1</f>
        <v>#VALUE!</v>
      </c>
      <c r="CU16" s="1017"/>
      <c r="CV16" s="1017"/>
      <c r="CW16" s="1017"/>
      <c r="CX16" s="1017"/>
      <c r="CY16" s="1017"/>
      <c r="CZ16" s="1017"/>
      <c r="DA16" s="1017"/>
      <c r="DB16" s="1017"/>
      <c r="DC16" s="1017"/>
      <c r="DD16" s="1017"/>
      <c r="DE16" s="1017"/>
      <c r="DF16" s="1017"/>
      <c r="DG16" s="1017"/>
      <c r="DH16" s="1017"/>
      <c r="DI16" s="1017"/>
      <c r="DJ16" s="1017"/>
      <c r="DK16" s="1017"/>
      <c r="DL16" s="1017"/>
      <c r="DM16" s="1017"/>
      <c r="DN16" s="1017"/>
      <c r="DO16" s="1017"/>
      <c r="DP16" s="1017"/>
    </row>
    <row r="17" spans="1:120" s="29" customFormat="1" ht="24" customHeight="1" thickTop="1">
      <c r="A17" s="75"/>
      <c r="B17" s="1421"/>
      <c r="C17" s="1070"/>
      <c r="D17" s="899"/>
      <c r="E17" s="44"/>
      <c r="F17" s="1133" t="s">
        <v>301</v>
      </c>
      <c r="G17" s="44"/>
      <c r="H17" s="996"/>
      <c r="I17" s="1124" t="str">
        <f>IF(H17&gt;0,H17,H16)</f>
        <v/>
      </c>
      <c r="J17" s="591" t="s">
        <v>315</v>
      </c>
      <c r="K17" s="975"/>
      <c r="L17" s="975"/>
      <c r="M17" s="975"/>
      <c r="N17" s="552"/>
      <c r="O17" s="1312" t="str">
        <f>IF(OR(O14="",O15="",O16="",O6=""),"",((O14-O15)*O16)/O6)</f>
        <v/>
      </c>
      <c r="Q17" s="860" t="s">
        <v>185</v>
      </c>
      <c r="R17" s="1422"/>
      <c r="S17" s="75"/>
      <c r="T17" s="1142"/>
      <c r="U17" s="75"/>
      <c r="V17" s="1368"/>
      <c r="W17" s="1815" t="str">
        <f>IF(AD16="NO","Use FeedChecker values below",IF(AF16="YES","Feed cows at 90% of energy requirements",""))</f>
        <v/>
      </c>
      <c r="X17" s="1815"/>
      <c r="Y17" s="1815"/>
      <c r="Z17" s="1815"/>
      <c r="AA17" s="1815"/>
      <c r="AB17" s="1815"/>
      <c r="AC17" s="1815"/>
      <c r="AD17" s="1815"/>
      <c r="AE17" s="1462"/>
      <c r="AF17" s="1293" t="str">
        <f>IF(AND($H$7="Dry",$AD$15="YES",$AD$16="NO"),"NO","")</f>
        <v/>
      </c>
      <c r="AG17" s="44"/>
      <c r="AH17" s="1142"/>
      <c r="AI17" s="95"/>
      <c r="AJ17" s="552"/>
      <c r="AK17" s="552"/>
      <c r="AL17" s="75"/>
      <c r="AM17" s="75"/>
      <c r="AN17" s="75"/>
      <c r="AO17" s="552"/>
      <c r="AP17" s="552"/>
      <c r="AQ17" s="552"/>
      <c r="AR17" s="552"/>
      <c r="AS17" s="552"/>
      <c r="AT17" s="552"/>
      <c r="AU17" s="552"/>
      <c r="AV17" s="44"/>
      <c r="AW17" s="1049"/>
      <c r="AX17" s="1062"/>
      <c r="AY17" s="552"/>
      <c r="AZ17" s="1057"/>
      <c r="BA17" s="552"/>
      <c r="BB17" s="1049"/>
      <c r="BC17" s="1049"/>
      <c r="BD17" s="1051"/>
      <c r="BE17" s="1049"/>
      <c r="BF17" s="1055"/>
      <c r="BG17" s="1049"/>
      <c r="BH17" s="1049"/>
      <c r="BI17" s="1049"/>
      <c r="BJ17" s="1049"/>
      <c r="BK17" s="1055"/>
      <c r="BL17" s="1049"/>
      <c r="BM17" s="1048"/>
      <c r="BN17" s="130"/>
      <c r="BO17" s="130"/>
      <c r="BP17" s="130"/>
      <c r="BQ17" s="130"/>
      <c r="BR17" s="130"/>
      <c r="BS17" s="552"/>
      <c r="BT17" s="552"/>
      <c r="BU17" s="44"/>
      <c r="BV17" s="44"/>
      <c r="BW17" s="44"/>
      <c r="BX17" s="44"/>
      <c r="BY17" s="44"/>
      <c r="BZ17" s="44"/>
      <c r="CA17" s="44"/>
      <c r="CB17" s="552"/>
      <c r="CC17" s="552"/>
      <c r="CD17" s="552"/>
      <c r="CE17" s="552"/>
      <c r="CF17" s="552"/>
      <c r="CG17" s="552"/>
      <c r="CQ17" s="28"/>
      <c r="CR17" s="1220" t="s">
        <v>498</v>
      </c>
      <c r="CS17" s="4" t="e">
        <f>$Q$29*0.85+$Q$30*0.15</f>
        <v>#VALUE!</v>
      </c>
      <c r="CU17" s="1021"/>
      <c r="CV17" s="1021"/>
      <c r="CW17" s="1021"/>
      <c r="CX17" s="1021"/>
      <c r="CY17" s="1021"/>
      <c r="CZ17" s="1021"/>
      <c r="DA17" s="1021"/>
      <c r="DB17" s="1021"/>
      <c r="DC17" s="1021"/>
      <c r="DD17" s="1021"/>
      <c r="DE17" s="1021"/>
      <c r="DF17" s="1021"/>
      <c r="DG17" s="1021"/>
      <c r="DH17" s="1021"/>
      <c r="DI17" s="1021"/>
      <c r="DJ17" s="1021"/>
      <c r="DK17" s="1021"/>
      <c r="DL17" s="1021"/>
      <c r="DM17" s="1021"/>
      <c r="DN17" s="1021"/>
      <c r="DO17" s="1021"/>
      <c r="DP17" s="1021"/>
    </row>
    <row r="18" spans="1:120" s="4" customFormat="1" ht="18" customHeight="1">
      <c r="A18" s="75"/>
      <c r="B18" s="1423"/>
      <c r="C18" s="54" t="s">
        <v>578</v>
      </c>
      <c r="D18" s="1124"/>
      <c r="E18" s="1124"/>
      <c r="F18" s="1124"/>
      <c r="G18" s="27" t="s">
        <v>615</v>
      </c>
      <c r="H18" s="1124"/>
      <c r="I18" s="1124"/>
      <c r="J18" s="860"/>
      <c r="K18" s="860"/>
      <c r="L18" s="860"/>
      <c r="M18" s="860"/>
      <c r="N18" s="860"/>
      <c r="O18" s="1827" t="s">
        <v>427</v>
      </c>
      <c r="P18" s="860"/>
      <c r="Q18" s="860"/>
      <c r="R18" s="1422"/>
      <c r="S18" s="75"/>
      <c r="T18" s="1142"/>
      <c r="U18" s="75"/>
      <c r="V18" s="1368"/>
      <c r="W18" s="53"/>
      <c r="X18" s="53"/>
      <c r="Y18" s="53"/>
      <c r="Z18" s="1127"/>
      <c r="AA18" s="53"/>
      <c r="AB18" s="7"/>
      <c r="AC18" s="53"/>
      <c r="AD18" s="7"/>
      <c r="AE18" s="1369"/>
      <c r="AF18" s="1288"/>
      <c r="AG18" s="44"/>
      <c r="AH18" s="1142"/>
      <c r="AI18" s="75"/>
      <c r="AJ18" s="75"/>
      <c r="AK18" s="1195"/>
      <c r="AL18" s="75"/>
      <c r="AM18" s="75"/>
      <c r="AN18" s="75"/>
      <c r="AO18" s="94"/>
      <c r="AP18" s="94"/>
      <c r="AQ18" s="94"/>
      <c r="AR18" s="94"/>
      <c r="AS18" s="94"/>
      <c r="AT18" s="94"/>
      <c r="AU18" s="94"/>
      <c r="AV18" s="1063"/>
      <c r="AW18" s="1049"/>
      <c r="AX18" s="44"/>
      <c r="AY18" s="44"/>
      <c r="AZ18" s="44"/>
      <c r="BA18" s="44"/>
      <c r="BB18" s="44"/>
      <c r="BC18" s="44"/>
      <c r="BD18" s="44"/>
      <c r="BE18" s="44"/>
      <c r="BF18" s="44"/>
      <c r="BG18" s="44"/>
      <c r="BH18" s="44"/>
      <c r="BI18" s="44"/>
      <c r="BJ18" s="44"/>
      <c r="BK18" s="44"/>
      <c r="BL18" s="44"/>
      <c r="BM18" s="44"/>
      <c r="BN18" s="130"/>
      <c r="BO18" s="130"/>
      <c r="BP18" s="130"/>
      <c r="BQ18" s="130"/>
      <c r="BR18" s="130"/>
      <c r="BS18" s="130"/>
      <c r="BT18" s="130"/>
      <c r="BU18" s="44"/>
      <c r="BV18" s="94"/>
      <c r="BW18" s="44"/>
      <c r="BX18" s="44"/>
      <c r="BY18" s="44"/>
      <c r="BZ18" s="44"/>
      <c r="CA18" s="44"/>
      <c r="CB18" s="94"/>
      <c r="CC18" s="94"/>
      <c r="CD18" s="94"/>
      <c r="CE18" s="94"/>
      <c r="CF18" s="94"/>
      <c r="CG18" s="94"/>
      <c r="CQ18" s="17"/>
      <c r="CR18" s="1220" t="s">
        <v>499</v>
      </c>
      <c r="CS18" s="4" t="e">
        <f>$Q$29*0.8+$Q$30*0.2</f>
        <v>#VALUE!</v>
      </c>
      <c r="CU18" s="1018"/>
      <c r="CV18" s="1018"/>
      <c r="CW18" s="1018"/>
      <c r="CX18" s="1018"/>
      <c r="CY18" s="1018"/>
      <c r="CZ18" s="1018"/>
      <c r="DA18" s="1018"/>
      <c r="DB18" s="1018"/>
      <c r="DC18" s="1018"/>
      <c r="DD18" s="1018"/>
      <c r="DE18" s="1018"/>
      <c r="DF18" s="1018"/>
      <c r="DG18" s="1018"/>
      <c r="DH18" s="1018"/>
      <c r="DI18" s="1018"/>
      <c r="DJ18" s="1018"/>
      <c r="DK18" s="1018"/>
      <c r="DL18" s="1018"/>
      <c r="DM18" s="1018"/>
      <c r="DN18" s="1018"/>
      <c r="DO18" s="1018"/>
      <c r="DP18" s="1018"/>
    </row>
    <row r="19" spans="1:120" s="4" customFormat="1" ht="25.5" customHeight="1">
      <c r="A19" s="75"/>
      <c r="B19" s="1423"/>
      <c r="C19" s="1410" t="s">
        <v>588</v>
      </c>
      <c r="D19" s="1124"/>
      <c r="E19" s="1605"/>
      <c r="F19" s="1124"/>
      <c r="G19" s="1411">
        <f>$O$16</f>
        <v>0</v>
      </c>
      <c r="H19" s="27" t="s">
        <v>579</v>
      </c>
      <c r="I19" s="860"/>
      <c r="J19" s="860"/>
      <c r="K19" s="860"/>
      <c r="L19" s="860"/>
      <c r="M19" s="860"/>
      <c r="N19" s="860"/>
      <c r="O19" s="1828"/>
      <c r="P19" s="860"/>
      <c r="Q19" s="860"/>
      <c r="R19" s="1422"/>
      <c r="S19" s="75"/>
      <c r="T19" s="1142"/>
      <c r="U19" s="75"/>
      <c r="V19" s="1368"/>
      <c r="W19" s="1857" t="s">
        <v>164</v>
      </c>
      <c r="X19" s="1857"/>
      <c r="Y19" s="1857"/>
      <c r="Z19" s="53"/>
      <c r="AA19" s="1444" t="s">
        <v>201</v>
      </c>
      <c r="AB19" s="53"/>
      <c r="AC19" s="1444" t="s">
        <v>202</v>
      </c>
      <c r="AD19" s="53"/>
      <c r="AE19" s="1369"/>
      <c r="AF19" s="1288"/>
      <c r="AG19" s="44"/>
      <c r="AH19" s="1142"/>
      <c r="AI19" s="75"/>
      <c r="AJ19" s="75"/>
      <c r="AK19" s="1195"/>
      <c r="AL19" s="75"/>
      <c r="AM19" s="75"/>
      <c r="AN19" s="75"/>
      <c r="AO19" s="94"/>
      <c r="AP19" s="94"/>
      <c r="AQ19" s="94"/>
      <c r="AR19" s="94"/>
      <c r="AS19" s="94"/>
      <c r="AT19" s="94"/>
      <c r="AU19" s="95"/>
      <c r="AV19" s="1063"/>
      <c r="AW19" s="1049"/>
      <c r="AX19" s="44"/>
      <c r="AY19" s="44"/>
      <c r="AZ19" s="44"/>
      <c r="BA19" s="44"/>
      <c r="BB19" s="44"/>
      <c r="BC19" s="44"/>
      <c r="BD19" s="44"/>
      <c r="BE19" s="44"/>
      <c r="BF19" s="44"/>
      <c r="BG19" s="44"/>
      <c r="BH19" s="44"/>
      <c r="BI19" s="44"/>
      <c r="BJ19" s="44"/>
      <c r="BK19" s="44"/>
      <c r="BL19" s="44"/>
      <c r="BM19" s="44"/>
      <c r="BN19" s="130"/>
      <c r="BO19" s="130"/>
      <c r="BP19" s="130"/>
      <c r="BQ19" s="130"/>
      <c r="BR19" s="130"/>
      <c r="BS19" s="130"/>
      <c r="BT19" s="130"/>
      <c r="BU19" s="44"/>
      <c r="BV19" s="94"/>
      <c r="BW19" s="44"/>
      <c r="BX19" s="44"/>
      <c r="BY19" s="44"/>
      <c r="BZ19" s="44"/>
      <c r="CA19" s="44"/>
      <c r="CB19" s="94"/>
      <c r="CC19" s="94"/>
      <c r="CD19" s="94"/>
      <c r="CE19" s="94"/>
      <c r="CF19" s="94"/>
      <c r="CG19" s="94"/>
      <c r="CJ19" s="4" t="e">
        <f>H32*0.9+#REF!*0.1</f>
        <v>#REF!</v>
      </c>
      <c r="CQ19" s="17"/>
      <c r="CR19" s="1220" t="s">
        <v>513</v>
      </c>
      <c r="CS19" s="4" t="e">
        <f>$Q$29*0.75+$Q$30*0.25</f>
        <v>#VALUE!</v>
      </c>
      <c r="CU19" s="1018"/>
      <c r="CV19" s="1018"/>
      <c r="CW19" s="1018"/>
      <c r="CX19" s="1018"/>
      <c r="CY19" s="1018"/>
      <c r="CZ19" s="1018"/>
      <c r="DA19" s="1018"/>
      <c r="DB19" s="1018"/>
      <c r="DC19" s="1018"/>
      <c r="DD19" s="1018"/>
      <c r="DE19" s="1018"/>
      <c r="DF19" s="1018"/>
      <c r="DG19" s="1018"/>
      <c r="DH19" s="1018"/>
      <c r="DI19" s="1018"/>
      <c r="DJ19" s="1018"/>
      <c r="DK19" s="1018"/>
      <c r="DL19" s="1018"/>
      <c r="DM19" s="1018"/>
      <c r="DN19" s="1018"/>
      <c r="DO19" s="1018"/>
      <c r="DP19" s="1018"/>
    </row>
    <row r="20" spans="1:120" s="4" customFormat="1" ht="20.25" customHeight="1">
      <c r="A20" s="75"/>
      <c r="B20" s="1424"/>
      <c r="C20" s="1410" t="s">
        <v>607</v>
      </c>
      <c r="E20" s="1413">
        <f>G19+G20+G21+G22</f>
        <v>0</v>
      </c>
      <c r="F20" s="54" t="s">
        <v>606</v>
      </c>
      <c r="G20" s="1412"/>
      <c r="H20" s="1247" t="s">
        <v>580</v>
      </c>
      <c r="J20" s="1837" t="s">
        <v>432</v>
      </c>
      <c r="K20" s="1838"/>
      <c r="L20" s="1838"/>
      <c r="M20" s="1839"/>
      <c r="O20" s="1074"/>
      <c r="Q20" s="1314" t="s">
        <v>185</v>
      </c>
      <c r="R20" s="160"/>
      <c r="S20" s="75"/>
      <c r="T20" s="1142"/>
      <c r="U20" s="75"/>
      <c r="V20" s="1368"/>
      <c r="W20" s="1409" t="s">
        <v>2</v>
      </c>
      <c r="X20" s="594" t="s">
        <v>564</v>
      </c>
      <c r="Y20" s="594" t="s">
        <v>566</v>
      </c>
      <c r="Z20" s="1127"/>
      <c r="AA20" s="7"/>
      <c r="AB20" s="1409" t="s">
        <v>216</v>
      </c>
      <c r="AC20" s="1442"/>
      <c r="AD20" s="1409" t="s">
        <v>216</v>
      </c>
      <c r="AE20" s="1446"/>
      <c r="AF20" s="1285">
        <f>IF(O20="",1,0)</f>
        <v>1</v>
      </c>
      <c r="AG20" s="44"/>
      <c r="AH20" s="1142"/>
      <c r="AI20" s="912"/>
      <c r="AJ20" s="75"/>
      <c r="AK20" s="75"/>
      <c r="AL20" s="75"/>
      <c r="AM20" s="75"/>
      <c r="AN20" s="75"/>
      <c r="AO20" s="75"/>
      <c r="AP20" s="75"/>
      <c r="AQ20" s="75"/>
      <c r="AR20" s="75"/>
      <c r="AS20" s="75"/>
      <c r="AT20" s="75"/>
      <c r="AU20" s="75"/>
      <c r="AV20" s="44"/>
      <c r="AW20" s="1049"/>
      <c r="AX20" s="1064"/>
      <c r="AY20" s="94"/>
      <c r="AZ20" s="1065"/>
      <c r="BA20" s="94"/>
      <c r="BB20" s="1065"/>
      <c r="BC20" s="1063"/>
      <c r="BD20" s="1063"/>
      <c r="BE20" s="1063"/>
      <c r="BF20" s="1063"/>
      <c r="BG20" s="1063"/>
      <c r="BH20" s="1063"/>
      <c r="BI20" s="1063"/>
      <c r="BJ20" s="1063"/>
      <c r="BK20" s="1063"/>
      <c r="BL20" s="1063"/>
      <c r="BM20" s="1063"/>
      <c r="BN20" s="130"/>
      <c r="BO20" s="130"/>
      <c r="BP20" s="130"/>
      <c r="BQ20" s="130"/>
      <c r="BR20" s="130"/>
      <c r="BS20" s="94"/>
      <c r="BT20" s="94"/>
      <c r="BU20" s="44"/>
      <c r="BV20" s="44"/>
      <c r="BW20" s="44"/>
      <c r="BX20" s="44"/>
      <c r="BY20" s="44"/>
      <c r="BZ20" s="44"/>
      <c r="CA20" s="44"/>
      <c r="CB20" s="94"/>
      <c r="CC20" s="94"/>
      <c r="CD20" s="94"/>
      <c r="CE20" s="94"/>
      <c r="CF20" s="94"/>
      <c r="CG20" s="94"/>
      <c r="CJ20" s="4" t="e">
        <f>#REF!*0.9+H33*0.1</f>
        <v>#REF!</v>
      </c>
      <c r="CQ20" s="17"/>
      <c r="CR20" s="1220" t="s">
        <v>514</v>
      </c>
      <c r="CS20" s="4" t="e">
        <f>$Q$29*0.7+$Q$30*0.3</f>
        <v>#VALUE!</v>
      </c>
      <c r="CU20" s="1018"/>
      <c r="CV20" s="1018"/>
      <c r="CW20" s="1018"/>
      <c r="CX20" s="1018"/>
      <c r="CY20" s="1018"/>
      <c r="CZ20" s="1018"/>
      <c r="DA20" s="1018"/>
      <c r="DB20" s="1018"/>
      <c r="DC20" s="1018"/>
      <c r="DD20" s="1018"/>
      <c r="DE20" s="1018"/>
      <c r="DF20" s="1018"/>
      <c r="DG20" s="1018"/>
      <c r="DH20" s="1018"/>
      <c r="DI20" s="1018"/>
      <c r="DJ20" s="1018"/>
      <c r="DK20" s="1018"/>
      <c r="DL20" s="1018"/>
      <c r="DM20" s="1018"/>
      <c r="DN20" s="1018"/>
      <c r="DO20" s="1018"/>
      <c r="DP20" s="1018"/>
    </row>
    <row r="21" spans="1:120" s="4" customFormat="1" ht="21" customHeight="1">
      <c r="A21" s="75"/>
      <c r="B21" s="1424"/>
      <c r="G21" s="1412"/>
      <c r="H21" s="1247" t="s">
        <v>581</v>
      </c>
      <c r="Q21" s="8"/>
      <c r="R21" s="160"/>
      <c r="S21" s="75"/>
      <c r="T21" s="1142"/>
      <c r="U21" s="75"/>
      <c r="V21" s="1368"/>
      <c r="W21" s="1358" t="s">
        <v>472</v>
      </c>
      <c r="X21" s="1452" t="e">
        <f>X40*0.9</f>
        <v>#VALUE!</v>
      </c>
      <c r="Y21" s="1452" t="e">
        <f>Y40*0.9</f>
        <v>#VALUE!</v>
      </c>
      <c r="Z21" s="1127"/>
      <c r="AA21" s="1359" t="str">
        <f>$AA$40</f>
        <v/>
      </c>
      <c r="AB21" s="1450" t="e">
        <f>AA21-X21</f>
        <v>#VALUE!</v>
      </c>
      <c r="AC21" s="1357" t="str">
        <f>AC40</f>
        <v/>
      </c>
      <c r="AD21" s="772" t="e">
        <f>IF($O$71&gt;0,AC21-Y21,"")</f>
        <v>#VALUE!</v>
      </c>
      <c r="AE21" s="1447"/>
      <c r="AF21" s="1292"/>
      <c r="AG21" s="44"/>
      <c r="AH21" s="1142"/>
      <c r="AI21" s="75"/>
      <c r="AJ21" s="75"/>
      <c r="AK21" s="75"/>
      <c r="AL21" s="75"/>
      <c r="AM21" s="75"/>
      <c r="AN21" s="75"/>
      <c r="AO21" s="75"/>
      <c r="AP21" s="75"/>
      <c r="AQ21" s="94"/>
      <c r="AR21" s="105"/>
      <c r="AS21" s="105"/>
      <c r="AT21" s="105"/>
      <c r="AU21" s="105"/>
      <c r="AV21" s="44"/>
      <c r="AW21" s="1063"/>
      <c r="AX21" s="1063"/>
      <c r="AY21" s="1063"/>
      <c r="AZ21" s="1063"/>
      <c r="BA21" s="1063"/>
      <c r="BB21" s="1063"/>
      <c r="BC21" s="1063"/>
      <c r="BD21" s="1063"/>
      <c r="BE21" s="1063"/>
      <c r="BF21" s="1063"/>
      <c r="BG21" s="1063"/>
      <c r="BH21" s="1063"/>
      <c r="BI21" s="1063"/>
      <c r="BJ21" s="1063"/>
      <c r="BK21" s="1063"/>
      <c r="BL21" s="1063"/>
      <c r="BM21" s="1063"/>
      <c r="BN21" s="130"/>
      <c r="BO21" s="130"/>
      <c r="BP21" s="130"/>
      <c r="BQ21" s="130"/>
      <c r="BR21" s="130"/>
      <c r="BS21" s="130"/>
      <c r="BT21" s="130"/>
      <c r="BU21" s="44"/>
      <c r="BV21" s="44"/>
      <c r="BW21" s="44"/>
      <c r="BX21" s="44"/>
      <c r="BY21" s="44"/>
      <c r="BZ21" s="44"/>
      <c r="CA21" s="44"/>
      <c r="CB21" s="94"/>
      <c r="CC21" s="94"/>
      <c r="CD21" s="105"/>
      <c r="CE21" s="105"/>
      <c r="CF21" s="105"/>
      <c r="CG21" s="105"/>
      <c r="CH21" s="32"/>
      <c r="CJ21" s="4">
        <f>H33*0.9+H34*0.1</f>
        <v>0</v>
      </c>
      <c r="CQ21" s="17"/>
      <c r="CR21" s="17"/>
      <c r="CU21" s="1018"/>
      <c r="CV21" s="1018"/>
      <c r="CW21" s="1018"/>
      <c r="CX21" s="1018"/>
      <c r="CY21" s="1018"/>
      <c r="CZ21" s="1018"/>
      <c r="DA21" s="1018"/>
      <c r="DB21" s="1018"/>
      <c r="DC21" s="1018"/>
      <c r="DD21" s="1018"/>
      <c r="DE21" s="1018"/>
      <c r="DF21" s="1018"/>
      <c r="DG21" s="1018"/>
      <c r="DH21" s="1018"/>
      <c r="DI21" s="1018"/>
      <c r="DJ21" s="1018"/>
      <c r="DK21" s="1018"/>
      <c r="DL21" s="1018"/>
      <c r="DM21" s="1018"/>
      <c r="DN21" s="1018"/>
      <c r="DO21" s="1018"/>
      <c r="DP21" s="1018"/>
    </row>
    <row r="22" spans="1:120" s="4" customFormat="1" ht="21" customHeight="1">
      <c r="A22" s="75"/>
      <c r="B22" s="1424"/>
      <c r="C22" s="1410" t="s">
        <v>612</v>
      </c>
      <c r="E22" s="1603" t="str">
        <f>IF(AND($E19&gt;0,$E$20&gt;0),$E$19/$E$20,"")</f>
        <v/>
      </c>
      <c r="F22" s="1466"/>
      <c r="G22" s="1412"/>
      <c r="H22" s="1247" t="s">
        <v>582</v>
      </c>
      <c r="N22" s="55"/>
      <c r="R22" s="160"/>
      <c r="S22" s="75"/>
      <c r="T22" s="1142"/>
      <c r="U22" s="75"/>
      <c r="V22" s="1368"/>
      <c r="W22" s="1491" t="s">
        <v>587</v>
      </c>
      <c r="X22" s="1127"/>
      <c r="Y22" s="1127"/>
      <c r="Z22" s="1127"/>
      <c r="AA22" s="1491" t="str">
        <f>IF(OR($Y$12="NO",$AF$16="NO",$CS$4=""),"",$CS$4)</f>
        <v/>
      </c>
      <c r="AB22" s="1127"/>
      <c r="AC22" s="1491" t="str">
        <f>IF(OR($Y$12="NO",$AF$16="NO",$Q$34="NO",$CS$4=""),"",$CU$4)</f>
        <v/>
      </c>
      <c r="AD22" s="1127"/>
      <c r="AE22" s="1447"/>
      <c r="AF22" s="1539" t="str">
        <f>IF(OR(E27="",E28="",E29="",E30=""),"X","+")</f>
        <v>X</v>
      </c>
      <c r="AG22" s="44"/>
      <c r="AH22" s="1142"/>
      <c r="AI22" s="75"/>
      <c r="AJ22" s="75"/>
      <c r="AK22" s="75"/>
      <c r="AL22" s="75"/>
      <c r="AM22" s="75"/>
      <c r="AN22" s="75"/>
      <c r="AO22" s="75"/>
      <c r="AP22" s="75"/>
      <c r="AQ22" s="94"/>
      <c r="AR22" s="105"/>
      <c r="AS22" s="105"/>
      <c r="AT22" s="105"/>
      <c r="AU22" s="105"/>
      <c r="AV22" s="44"/>
      <c r="AW22" s="1063"/>
      <c r="AX22" s="1063"/>
      <c r="AY22" s="1063"/>
      <c r="AZ22" s="1063"/>
      <c r="BA22" s="1063"/>
      <c r="BB22" s="1063"/>
      <c r="BC22" s="1063"/>
      <c r="BD22" s="1063"/>
      <c r="BE22" s="1063"/>
      <c r="BF22" s="1063"/>
      <c r="BG22" s="1063"/>
      <c r="BH22" s="1063"/>
      <c r="BI22" s="1063"/>
      <c r="BJ22" s="1063"/>
      <c r="BK22" s="1063"/>
      <c r="BL22" s="1063"/>
      <c r="BM22" s="1063"/>
      <c r="BN22" s="130"/>
      <c r="BO22" s="130"/>
      <c r="BP22" s="130"/>
      <c r="BQ22" s="130"/>
      <c r="BR22" s="130"/>
      <c r="BS22" s="130"/>
      <c r="BT22" s="130"/>
      <c r="BU22" s="44"/>
      <c r="BV22" s="44"/>
      <c r="BW22" s="44"/>
      <c r="BX22" s="44"/>
      <c r="BY22" s="44"/>
      <c r="BZ22" s="44"/>
      <c r="CA22" s="44"/>
      <c r="CB22" s="94"/>
      <c r="CC22" s="94"/>
      <c r="CD22" s="105"/>
      <c r="CE22" s="105"/>
      <c r="CF22" s="105"/>
      <c r="CG22" s="105"/>
      <c r="CH22" s="32"/>
      <c r="CJ22" s="4">
        <f>H34*0.9+H35*0.1</f>
        <v>0</v>
      </c>
      <c r="CQ22" s="17"/>
      <c r="CR22" s="17"/>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row>
    <row r="23" spans="1:120" s="4" customFormat="1" ht="19.5" customHeight="1">
      <c r="A23" s="75"/>
      <c r="B23" s="1425"/>
      <c r="C23" s="1426"/>
      <c r="D23" s="1427"/>
      <c r="E23" s="1426"/>
      <c r="F23" s="1426"/>
      <c r="G23" s="1426"/>
      <c r="H23" s="191"/>
      <c r="I23" s="191"/>
      <c r="J23" s="191"/>
      <c r="K23" s="191"/>
      <c r="L23" s="191"/>
      <c r="M23" s="191"/>
      <c r="N23" s="191"/>
      <c r="O23" s="8"/>
      <c r="P23" s="8"/>
      <c r="Q23" s="8"/>
      <c r="R23" s="1420"/>
      <c r="S23" s="75"/>
      <c r="T23" s="1142"/>
      <c r="U23" s="75"/>
      <c r="V23" s="1368"/>
      <c r="W23" s="1358" t="s">
        <v>458</v>
      </c>
      <c r="X23" s="1443" t="e">
        <f>X43*0.9</f>
        <v>#VALUE!</v>
      </c>
      <c r="Y23" s="1443" t="e">
        <f>Y43*0.9</f>
        <v>#VALUE!</v>
      </c>
      <c r="Z23" s="1127"/>
      <c r="AA23" s="1468" t="str">
        <f>$AA$43</f>
        <v/>
      </c>
      <c r="AB23" s="1451" t="e">
        <f>AA23-X23</f>
        <v>#VALUE!</v>
      </c>
      <c r="AC23" s="1468" t="str">
        <f>$AC$43</f>
        <v/>
      </c>
      <c r="AD23" s="1453" t="e">
        <f>IF($O$71&gt;0,$AC$23-$Y$23,"")</f>
        <v>#VALUE!</v>
      </c>
      <c r="AE23" s="1447"/>
      <c r="AF23" s="1539" t="str">
        <f>IF(OR(E27="",E29="",E30=""),"X","3/4")</f>
        <v>X</v>
      </c>
      <c r="AG23" s="44"/>
      <c r="AH23" s="1142"/>
      <c r="AI23" s="75"/>
      <c r="AJ23" s="75"/>
      <c r="AK23" s="75"/>
      <c r="AL23" s="75"/>
      <c r="AM23" s="75"/>
      <c r="AN23" s="75"/>
      <c r="AO23" s="75"/>
      <c r="AP23" s="75"/>
      <c r="AQ23" s="94"/>
      <c r="AR23" s="105"/>
      <c r="AS23" s="105"/>
      <c r="AT23" s="105"/>
      <c r="AU23" s="105"/>
      <c r="AV23" s="44"/>
      <c r="AW23" s="1063"/>
      <c r="AX23" s="1063"/>
      <c r="AY23" s="1063"/>
      <c r="AZ23" s="1063"/>
      <c r="BA23" s="1063"/>
      <c r="BB23" s="1063"/>
      <c r="BC23" s="1063"/>
      <c r="BD23" s="1063"/>
      <c r="BE23" s="1063"/>
      <c r="BF23" s="1063"/>
      <c r="BG23" s="1063"/>
      <c r="BH23" s="1063"/>
      <c r="BI23" s="1063"/>
      <c r="BJ23" s="1063"/>
      <c r="BK23" s="1063"/>
      <c r="BL23" s="1063"/>
      <c r="BM23" s="1063"/>
      <c r="BN23" s="130"/>
      <c r="BO23" s="130"/>
      <c r="BP23" s="130"/>
      <c r="BQ23" s="130"/>
      <c r="BR23" s="130"/>
      <c r="BS23" s="130"/>
      <c r="BT23" s="130"/>
      <c r="BU23" s="44"/>
      <c r="BV23" s="44"/>
      <c r="BW23" s="44"/>
      <c r="BX23" s="44"/>
      <c r="BY23" s="44"/>
      <c r="BZ23" s="44"/>
      <c r="CA23" s="44"/>
      <c r="CB23" s="94"/>
      <c r="CC23" s="94"/>
      <c r="CD23" s="105"/>
      <c r="CE23" s="105"/>
      <c r="CF23" s="105"/>
      <c r="CG23" s="105"/>
      <c r="CH23" s="32"/>
      <c r="CQ23" s="17"/>
      <c r="CR23" s="17"/>
      <c r="CU23" s="1018"/>
      <c r="CV23" s="1018"/>
      <c r="CW23" s="1018"/>
      <c r="CX23" s="1018"/>
      <c r="CY23" s="1018"/>
      <c r="CZ23" s="1018"/>
      <c r="DA23" s="1018"/>
      <c r="DB23" s="1018"/>
      <c r="DC23" s="1018"/>
      <c r="DD23" s="1018"/>
      <c r="DE23" s="1018"/>
      <c r="DF23" s="1018"/>
      <c r="DG23" s="1018"/>
      <c r="DH23" s="1018"/>
      <c r="DI23" s="1018"/>
      <c r="DJ23" s="1018"/>
      <c r="DK23" s="1018"/>
      <c r="DL23" s="1018"/>
      <c r="DM23" s="1018"/>
      <c r="DN23" s="1018"/>
      <c r="DO23" s="1018"/>
      <c r="DP23" s="1018"/>
    </row>
    <row r="24" spans="1:120" s="4" customFormat="1" ht="22.5" customHeight="1">
      <c r="A24" s="75"/>
      <c r="B24" s="975"/>
      <c r="C24" s="975"/>
      <c r="D24" s="974"/>
      <c r="E24" s="975"/>
      <c r="F24" s="975"/>
      <c r="G24" s="975"/>
      <c r="H24" s="551"/>
      <c r="I24" s="556"/>
      <c r="J24" s="556"/>
      <c r="K24" s="556"/>
      <c r="L24" s="556"/>
      <c r="M24" s="556"/>
      <c r="N24" s="556"/>
      <c r="O24" s="557"/>
      <c r="P24" s="557"/>
      <c r="Q24" s="557"/>
      <c r="R24" s="558"/>
      <c r="S24" s="75"/>
      <c r="T24" s="1142"/>
      <c r="U24" s="75"/>
      <c r="V24" s="1368"/>
      <c r="W24" s="53"/>
      <c r="X24" s="53"/>
      <c r="Y24" s="53"/>
      <c r="Z24" s="53"/>
      <c r="AA24" s="53"/>
      <c r="AB24" s="53"/>
      <c r="AC24" s="53"/>
      <c r="AD24" s="53"/>
      <c r="AE24" s="1446"/>
      <c r="AF24" s="1467">
        <f>E27/10</f>
        <v>0</v>
      </c>
      <c r="AG24" s="44"/>
      <c r="AH24" s="1142"/>
      <c r="AI24" s="75"/>
      <c r="AJ24" s="75"/>
      <c r="AK24" s="75"/>
      <c r="AL24" s="75"/>
      <c r="AM24" s="75"/>
      <c r="AN24" s="75"/>
      <c r="AO24" s="75"/>
      <c r="AP24" s="75"/>
      <c r="AQ24" s="94"/>
      <c r="AR24" s="105"/>
      <c r="AS24" s="105"/>
      <c r="AT24" s="105"/>
      <c r="AU24" s="105"/>
      <c r="AV24" s="44"/>
      <c r="AW24" s="1063"/>
      <c r="AX24" s="1063"/>
      <c r="AY24" s="1063"/>
      <c r="AZ24" s="1063"/>
      <c r="BA24" s="1063"/>
      <c r="BB24" s="1063"/>
      <c r="BC24" s="1063"/>
      <c r="BD24" s="1063"/>
      <c r="BE24" s="1063"/>
      <c r="BF24" s="1063"/>
      <c r="BG24" s="1063"/>
      <c r="BH24" s="1063"/>
      <c r="BI24" s="1063"/>
      <c r="BJ24" s="1063"/>
      <c r="BK24" s="1063"/>
      <c r="BL24" s="1063"/>
      <c r="BM24" s="1063"/>
      <c r="BN24" s="130"/>
      <c r="BO24" s="130"/>
      <c r="BP24" s="130"/>
      <c r="BQ24" s="130"/>
      <c r="BR24" s="130"/>
      <c r="BS24" s="130"/>
      <c r="BT24" s="130"/>
      <c r="BU24" s="44"/>
      <c r="BV24" s="44"/>
      <c r="BW24" s="44"/>
      <c r="BX24" s="44"/>
      <c r="BY24" s="44"/>
      <c r="BZ24" s="44"/>
      <c r="CA24" s="44"/>
      <c r="CB24" s="94"/>
      <c r="CC24" s="94"/>
      <c r="CD24" s="105"/>
      <c r="CE24" s="105"/>
      <c r="CF24" s="105"/>
      <c r="CG24" s="105"/>
      <c r="CH24" s="32"/>
      <c r="CI24" s="1517" t="s">
        <v>604</v>
      </c>
      <c r="CQ24" s="17"/>
      <c r="CR24" s="17"/>
      <c r="CU24" s="1018"/>
      <c r="CV24" s="1018"/>
      <c r="CW24" s="1018"/>
      <c r="CX24" s="1018"/>
      <c r="CY24" s="1018"/>
      <c r="CZ24" s="1018"/>
      <c r="DA24" s="1018"/>
      <c r="DB24" s="1018"/>
      <c r="DC24" s="1018"/>
      <c r="DD24" s="1018"/>
      <c r="DE24" s="1018"/>
      <c r="DF24" s="1018"/>
      <c r="DG24" s="1018"/>
      <c r="DH24" s="1018"/>
      <c r="DI24" s="1018"/>
      <c r="DJ24" s="1018"/>
      <c r="DK24" s="1018"/>
      <c r="DL24" s="1018"/>
      <c r="DM24" s="1018"/>
      <c r="DN24" s="1018"/>
      <c r="DO24" s="1018"/>
      <c r="DP24" s="1018"/>
    </row>
    <row r="25" spans="1:120" s="4" customFormat="1" ht="23.25" customHeight="1" thickBot="1">
      <c r="A25" s="75"/>
      <c r="B25" s="1829" t="s">
        <v>512</v>
      </c>
      <c r="C25" s="1830"/>
      <c r="D25" s="1830"/>
      <c r="E25" s="1830"/>
      <c r="F25" s="1830"/>
      <c r="G25" s="1830"/>
      <c r="H25" s="1830"/>
      <c r="I25" s="1543" t="s">
        <v>179</v>
      </c>
      <c r="J25" s="1521"/>
      <c r="K25" s="1514"/>
      <c r="L25" s="1515"/>
      <c r="M25" s="1516" t="s">
        <v>598</v>
      </c>
      <c r="N25" s="1515"/>
      <c r="O25" s="1540"/>
      <c r="P25" s="1513"/>
      <c r="Q25" s="1544" t="s">
        <v>180</v>
      </c>
      <c r="R25" s="1522"/>
      <c r="S25" s="75"/>
      <c r="T25" s="1142"/>
      <c r="U25" s="75"/>
      <c r="V25" s="1368"/>
      <c r="W25" s="1127"/>
      <c r="X25" s="1127"/>
      <c r="Y25" s="1127"/>
      <c r="Z25" s="1127"/>
      <c r="AA25" s="1127"/>
      <c r="AB25" s="1127"/>
      <c r="AC25" s="1127"/>
      <c r="AD25" s="1127"/>
      <c r="AE25" s="1447"/>
      <c r="AF25" s="1467">
        <f>(AF24*E28)/100</f>
        <v>0</v>
      </c>
      <c r="AG25" s="44"/>
      <c r="AH25" s="1142"/>
      <c r="AI25" s="75"/>
      <c r="AJ25" s="75"/>
      <c r="AK25" s="75"/>
      <c r="AL25" s="75"/>
      <c r="AM25" s="75"/>
      <c r="AN25" s="75"/>
      <c r="AO25" s="75"/>
      <c r="AP25" s="75"/>
      <c r="AQ25" s="94"/>
      <c r="AR25" s="105"/>
      <c r="AS25" s="105"/>
      <c r="AT25" s="105"/>
      <c r="AU25" s="105"/>
      <c r="AV25" s="44"/>
      <c r="AW25" s="1063"/>
      <c r="AX25" s="1063"/>
      <c r="AY25" s="1063"/>
      <c r="AZ25" s="1063"/>
      <c r="BA25" s="1063"/>
      <c r="BB25" s="1063"/>
      <c r="BC25" s="1063"/>
      <c r="BD25" s="1063"/>
      <c r="BE25" s="1063"/>
      <c r="BF25" s="1063"/>
      <c r="BG25" s="1063"/>
      <c r="BH25" s="1063"/>
      <c r="BI25" s="1063"/>
      <c r="BJ25" s="1063"/>
      <c r="BK25" s="1063"/>
      <c r="BL25" s="1063"/>
      <c r="BM25" s="1063"/>
      <c r="BN25" s="130"/>
      <c r="BO25" s="130"/>
      <c r="BP25" s="130"/>
      <c r="BQ25" s="130"/>
      <c r="BR25" s="130"/>
      <c r="BS25" s="130"/>
      <c r="BT25" s="130"/>
      <c r="BU25" s="44"/>
      <c r="BV25" s="44"/>
      <c r="BW25" s="44"/>
      <c r="BX25" s="44"/>
      <c r="BY25" s="44"/>
      <c r="BZ25" s="44"/>
      <c r="CA25" s="44"/>
      <c r="CB25" s="94"/>
      <c r="CC25" s="94"/>
      <c r="CD25" s="105"/>
      <c r="CE25" s="105"/>
      <c r="CF25" s="105"/>
      <c r="CG25" s="105"/>
      <c r="CH25" s="32"/>
      <c r="CI25" s="1518" t="s">
        <v>179</v>
      </c>
      <c r="CJ25"/>
      <c r="CQ25" s="17"/>
      <c r="CR25" s="17"/>
      <c r="CU25" s="1018"/>
      <c r="CV25" s="1018"/>
      <c r="CW25" s="1018"/>
      <c r="CX25" s="1018"/>
      <c r="CY25" s="1018"/>
      <c r="CZ25" s="1018"/>
      <c r="DA25" s="1018"/>
      <c r="DB25" s="1018"/>
      <c r="DC25" s="1018"/>
      <c r="DD25" s="1018"/>
      <c r="DE25" s="1018"/>
      <c r="DF25" s="1018"/>
      <c r="DG25" s="1018"/>
      <c r="DH25" s="1018"/>
      <c r="DI25" s="1018"/>
      <c r="DJ25" s="1018"/>
      <c r="DK25" s="1018"/>
      <c r="DL25" s="1018"/>
      <c r="DM25" s="1018"/>
      <c r="DN25" s="1018"/>
      <c r="DO25" s="1018"/>
      <c r="DP25" s="1018"/>
    </row>
    <row r="26" spans="1:120" s="4" customFormat="1" ht="23.25" customHeight="1" thickTop="1">
      <c r="A26" s="75"/>
      <c r="B26" s="1523"/>
      <c r="C26" s="1410" t="s">
        <v>600</v>
      </c>
      <c r="F26" s="1583"/>
      <c r="G26" s="1583"/>
      <c r="H26" s="1583"/>
      <c r="I26" s="1583"/>
      <c r="R26" s="1535"/>
      <c r="S26" s="75"/>
      <c r="T26" s="1142"/>
      <c r="U26" s="75"/>
      <c r="V26" s="1368"/>
      <c r="W26" s="1127"/>
      <c r="X26" s="1127"/>
      <c r="Y26" s="1127"/>
      <c r="Z26" s="1127"/>
      <c r="AA26" s="1127"/>
      <c r="AB26" s="1127"/>
      <c r="AC26" s="1127"/>
      <c r="AD26" s="1127"/>
      <c r="AE26" s="1447"/>
      <c r="AF26" s="1536" t="e">
        <f>(AF24*Q31)/100</f>
        <v>#VALUE!</v>
      </c>
      <c r="AG26" s="44"/>
      <c r="AH26" s="1142"/>
      <c r="AI26" s="75"/>
      <c r="AJ26" s="75"/>
      <c r="AK26" s="75"/>
      <c r="AL26" s="75"/>
      <c r="AM26" s="75"/>
      <c r="AN26" s="75"/>
      <c r="AO26" s="75"/>
      <c r="AP26" s="75"/>
      <c r="AQ26" s="94"/>
      <c r="AR26" s="105"/>
      <c r="AS26" s="105"/>
      <c r="AT26" s="105"/>
      <c r="AU26" s="105"/>
      <c r="AV26" s="44"/>
      <c r="AW26" s="1063"/>
      <c r="AX26" s="1063"/>
      <c r="AY26" s="1063"/>
      <c r="AZ26" s="1063"/>
      <c r="BA26" s="1063"/>
      <c r="BB26" s="1063"/>
      <c r="BC26" s="1063"/>
      <c r="BD26" s="1063"/>
      <c r="BE26" s="1063"/>
      <c r="BF26" s="1063"/>
      <c r="BG26" s="1063"/>
      <c r="BH26" s="1063"/>
      <c r="BI26" s="1063"/>
      <c r="BJ26" s="1063"/>
      <c r="BK26" s="1063"/>
      <c r="BL26" s="1063"/>
      <c r="BM26" s="1063"/>
      <c r="BN26" s="130"/>
      <c r="BO26" s="130"/>
      <c r="BP26" s="130"/>
      <c r="BQ26" s="130"/>
      <c r="BR26" s="130"/>
      <c r="BS26" s="130"/>
      <c r="BT26" s="130"/>
      <c r="BU26" s="44"/>
      <c r="BV26" s="44"/>
      <c r="BW26" s="44"/>
      <c r="BX26" s="44"/>
      <c r="BY26" s="44"/>
      <c r="BZ26" s="44"/>
      <c r="CA26" s="44"/>
      <c r="CB26" s="94"/>
      <c r="CC26" s="94"/>
      <c r="CD26" s="105"/>
      <c r="CE26" s="105"/>
      <c r="CF26" s="105"/>
      <c r="CG26" s="105"/>
      <c r="CH26" s="32"/>
      <c r="CI26" s="1519" t="s">
        <v>180</v>
      </c>
      <c r="CJ26"/>
      <c r="CQ26" s="17"/>
      <c r="CR26" s="17"/>
      <c r="CU26" s="1018"/>
      <c r="CV26" s="1018"/>
      <c r="CW26" s="1018"/>
      <c r="CX26" s="1018"/>
      <c r="CY26" s="1018"/>
      <c r="CZ26" s="1018"/>
      <c r="DA26" s="1018"/>
      <c r="DB26" s="1018"/>
      <c r="DC26" s="1018"/>
      <c r="DD26" s="1018"/>
      <c r="DE26" s="1018"/>
      <c r="DF26" s="1018"/>
      <c r="DG26" s="1018"/>
      <c r="DH26" s="1018"/>
      <c r="DI26" s="1018"/>
      <c r="DJ26" s="1018"/>
      <c r="DK26" s="1018"/>
      <c r="DL26" s="1018"/>
      <c r="DM26" s="1018"/>
      <c r="DN26" s="1018"/>
      <c r="DO26" s="1018"/>
      <c r="DP26" s="1018"/>
    </row>
    <row r="27" spans="1:120" s="4" customFormat="1" ht="21.6" customHeight="1" thickBot="1">
      <c r="A27" s="75"/>
      <c r="B27" s="1524"/>
      <c r="C27" s="591" t="s">
        <v>610</v>
      </c>
      <c r="D27" s="94"/>
      <c r="E27" s="1037"/>
      <c r="F27" s="1584"/>
      <c r="G27" s="1583"/>
      <c r="H27" s="1493"/>
      <c r="I27" s="1583"/>
      <c r="J27" s="55" t="s">
        <v>601</v>
      </c>
      <c r="L27" s="55"/>
      <c r="R27" s="1535"/>
      <c r="S27" s="75"/>
      <c r="T27" s="1142"/>
      <c r="U27" s="75"/>
      <c r="V27" s="1368"/>
      <c r="W27" s="1127"/>
      <c r="X27" s="1127"/>
      <c r="Y27" s="1127"/>
      <c r="Z27" s="1127"/>
      <c r="AA27" s="1127"/>
      <c r="AB27" s="1127"/>
      <c r="AC27" s="1127"/>
      <c r="AD27" s="1127"/>
      <c r="AE27" s="1447"/>
      <c r="AF27" s="1467" t="e">
        <f>AF29/E29</f>
        <v>#DIV/0!</v>
      </c>
      <c r="AG27" s="44"/>
      <c r="AH27" s="1142"/>
      <c r="AI27" s="75"/>
      <c r="AJ27" s="75"/>
      <c r="AK27" s="75"/>
      <c r="AL27" s="75"/>
      <c r="AM27" s="75"/>
      <c r="AN27" s="75"/>
      <c r="AO27" s="75"/>
      <c r="AP27" s="75"/>
      <c r="AQ27" s="94"/>
      <c r="AR27" s="105"/>
      <c r="AS27" s="105"/>
      <c r="AT27" s="105"/>
      <c r="AU27" s="105"/>
      <c r="AV27" s="44"/>
      <c r="AW27" s="1063"/>
      <c r="AX27" s="1063"/>
      <c r="AY27" s="1063"/>
      <c r="AZ27" s="1063"/>
      <c r="BA27" s="1063"/>
      <c r="BB27" s="1063"/>
      <c r="BC27" s="1063"/>
      <c r="BD27" s="1063"/>
      <c r="BE27" s="1063"/>
      <c r="BF27" s="1063"/>
      <c r="BG27" s="1063"/>
      <c r="BH27" s="1063"/>
      <c r="BI27" s="1063"/>
      <c r="BJ27" s="1063"/>
      <c r="BK27" s="1063"/>
      <c r="BL27" s="1063"/>
      <c r="BM27" s="1063"/>
      <c r="BN27" s="130"/>
      <c r="BO27" s="130"/>
      <c r="BP27" s="130"/>
      <c r="BQ27" s="130"/>
      <c r="BR27" s="130"/>
      <c r="BS27" s="130"/>
      <c r="BT27" s="130"/>
      <c r="BU27" s="44"/>
      <c r="BV27" s="44"/>
      <c r="BW27" s="44"/>
      <c r="BX27" s="44"/>
      <c r="BY27" s="44"/>
      <c r="BZ27" s="44"/>
      <c r="CA27" s="44"/>
      <c r="CB27" s="94"/>
      <c r="CC27" s="94"/>
      <c r="CD27" s="105"/>
      <c r="CE27" s="105"/>
      <c r="CF27" s="105"/>
      <c r="CG27" s="105"/>
      <c r="CH27" s="32"/>
      <c r="CJ27" s="1128" t="str">
        <f>IF($H$7="","",VLOOKUP($H$7,'Data source'!$B$261:$C$264,2,FALSE))</f>
        <v/>
      </c>
      <c r="CQ27" s="17"/>
      <c r="CR27" s="17"/>
      <c r="CU27" s="1018"/>
      <c r="CV27" s="1018"/>
      <c r="CW27" s="1018"/>
      <c r="CX27" s="1018"/>
      <c r="CY27" s="1018"/>
      <c r="CZ27" s="1018"/>
      <c r="DA27" s="1018"/>
      <c r="DB27" s="1018"/>
      <c r="DC27" s="1018"/>
      <c r="DD27" s="1018"/>
      <c r="DE27" s="1018"/>
      <c r="DF27" s="1018"/>
      <c r="DG27" s="1018"/>
      <c r="DH27" s="1018"/>
      <c r="DI27" s="1018"/>
      <c r="DJ27" s="1018"/>
      <c r="DK27" s="1018"/>
      <c r="DL27" s="1018"/>
      <c r="DM27" s="1018"/>
      <c r="DN27" s="1018"/>
      <c r="DO27" s="1018"/>
      <c r="DP27" s="1018"/>
    </row>
    <row r="28" spans="1:120" s="4" customFormat="1" ht="22.35" customHeight="1" thickTop="1" thickBot="1">
      <c r="A28" s="75"/>
      <c r="B28" s="1523"/>
      <c r="C28" s="1314" t="s">
        <v>609</v>
      </c>
      <c r="D28" s="191"/>
      <c r="E28" s="1074"/>
      <c r="F28" s="1585" t="s">
        <v>614</v>
      </c>
      <c r="G28" s="1583"/>
      <c r="H28" s="1493"/>
      <c r="I28" s="1583"/>
      <c r="J28" s="591" t="s">
        <v>523</v>
      </c>
      <c r="K28" s="94"/>
      <c r="L28" s="94"/>
      <c r="M28" s="1840" t="s">
        <v>620</v>
      </c>
      <c r="N28" s="1841"/>
      <c r="O28" s="1841"/>
      <c r="P28" s="1841"/>
      <c r="Q28" s="1842"/>
      <c r="R28" s="1535"/>
      <c r="S28" s="75"/>
      <c r="T28" s="1142"/>
      <c r="U28" s="75"/>
      <c r="V28" s="1368"/>
      <c r="W28" s="1127"/>
      <c r="X28" s="1127"/>
      <c r="Y28" s="1127" t="s">
        <v>585</v>
      </c>
      <c r="Z28" s="1127"/>
      <c r="AA28" s="1127"/>
      <c r="AB28" s="1127"/>
      <c r="AC28" s="1127"/>
      <c r="AD28" s="1127"/>
      <c r="AE28" s="1447"/>
      <c r="AF28" s="1536" t="e">
        <f>AF30/E29</f>
        <v>#VALUE!</v>
      </c>
      <c r="AG28" s="44"/>
      <c r="AH28" s="1142"/>
      <c r="AI28" s="75"/>
      <c r="AJ28" s="75"/>
      <c r="AK28" s="75"/>
      <c r="AL28" s="75"/>
      <c r="AM28" s="75"/>
      <c r="AN28" s="75"/>
      <c r="AO28" s="75"/>
      <c r="AP28" s="75"/>
      <c r="AQ28" s="94"/>
      <c r="AR28" s="105"/>
      <c r="AS28" s="105"/>
      <c r="AT28" s="105"/>
      <c r="AU28" s="105"/>
      <c r="AV28" s="44"/>
      <c r="AW28" s="1063"/>
      <c r="AX28" s="1063"/>
      <c r="AY28" s="1063"/>
      <c r="AZ28" s="1063"/>
      <c r="BA28" s="1063"/>
      <c r="BB28" s="1063"/>
      <c r="BC28" s="1063"/>
      <c r="BD28" s="1063"/>
      <c r="BE28" s="1063"/>
      <c r="BF28" s="1063"/>
      <c r="BG28" s="1063"/>
      <c r="BH28" s="1063"/>
      <c r="BI28" s="1063"/>
      <c r="BJ28" s="1063"/>
      <c r="BK28" s="1063"/>
      <c r="BL28" s="1063"/>
      <c r="BM28" s="1063"/>
      <c r="BN28" s="130"/>
      <c r="BO28" s="130"/>
      <c r="BP28" s="130"/>
      <c r="BQ28" s="130"/>
      <c r="BR28" s="130"/>
      <c r="BS28" s="130"/>
      <c r="BT28" s="130"/>
      <c r="BU28" s="44"/>
      <c r="BV28" s="44"/>
      <c r="BW28" s="44"/>
      <c r="BX28" s="44"/>
      <c r="BY28" s="44"/>
      <c r="BZ28" s="44"/>
      <c r="CA28" s="44"/>
      <c r="CB28" s="94"/>
      <c r="CC28" s="94"/>
      <c r="CD28" s="105"/>
      <c r="CE28" s="105"/>
      <c r="CF28" s="105"/>
      <c r="CG28" s="105"/>
      <c r="CH28" s="32"/>
      <c r="CQ28" s="17"/>
      <c r="CR28" s="17"/>
      <c r="CU28" s="1018"/>
      <c r="CV28" s="1018"/>
      <c r="CW28" s="1018"/>
      <c r="CX28" s="1018"/>
      <c r="CY28" s="1018"/>
      <c r="CZ28" s="1018"/>
      <c r="DA28" s="1018"/>
      <c r="DB28" s="1018"/>
      <c r="DC28" s="1018"/>
      <c r="DD28" s="1018"/>
      <c r="DE28" s="1018"/>
      <c r="DF28" s="1018"/>
      <c r="DG28" s="1018"/>
      <c r="DH28" s="1018"/>
      <c r="DI28" s="1018"/>
      <c r="DJ28" s="1018"/>
      <c r="DK28" s="1018"/>
      <c r="DL28" s="1018"/>
      <c r="DM28" s="1018"/>
      <c r="DN28" s="1018"/>
      <c r="DO28" s="1018"/>
      <c r="DP28" s="1018"/>
    </row>
    <row r="29" spans="1:120" s="4" customFormat="1" ht="22.5" customHeight="1" thickTop="1">
      <c r="A29" s="75"/>
      <c r="B29" s="1524"/>
      <c r="C29" s="591" t="s">
        <v>608</v>
      </c>
      <c r="D29" s="552"/>
      <c r="E29" s="1278"/>
      <c r="F29" s="1586" t="str">
        <f>IF(AND($I$25="YES",$Q$25="YES",$E$29&lt;O6),"check break size","")</f>
        <v/>
      </c>
      <c r="G29" s="1583"/>
      <c r="H29" s="1493"/>
      <c r="I29" s="1583"/>
      <c r="J29" s="1314" t="s">
        <v>517</v>
      </c>
      <c r="Q29" s="1520" t="str">
        <f>IF(AND(I25="NO",Q25="NO"),"",IF(Q25="YES",'CUSTOM FEED SET-UP'!F5,""))</f>
        <v/>
      </c>
      <c r="R29" s="1525"/>
      <c r="S29" s="75"/>
      <c r="T29" s="1142"/>
      <c r="U29" s="75"/>
      <c r="V29" s="1368"/>
      <c r="W29" s="1127"/>
      <c r="X29" s="1127"/>
      <c r="Y29" s="1127" t="s">
        <v>584</v>
      </c>
      <c r="Z29" s="1127"/>
      <c r="AA29" s="1127"/>
      <c r="AB29" s="1127"/>
      <c r="AC29" s="1127"/>
      <c r="AD29" s="1127"/>
      <c r="AE29" s="1447"/>
      <c r="AF29" s="1467" t="e">
        <f>E30/AF25</f>
        <v>#DIV/0!</v>
      </c>
      <c r="AG29" s="44"/>
      <c r="AH29" s="1142"/>
      <c r="AI29" s="75"/>
      <c r="AJ29" s="75"/>
      <c r="AK29" s="75"/>
      <c r="AL29" s="75"/>
      <c r="AM29" s="75"/>
      <c r="AN29" s="75"/>
      <c r="AO29" s="75"/>
      <c r="AP29" s="75"/>
      <c r="AQ29" s="94"/>
      <c r="AR29" s="105"/>
      <c r="AS29" s="105"/>
      <c r="AT29" s="105"/>
      <c r="AU29" s="105"/>
      <c r="AV29" s="44"/>
      <c r="AW29" s="1063"/>
      <c r="AX29" s="1063"/>
      <c r="AY29" s="1063"/>
      <c r="AZ29" s="1063"/>
      <c r="BA29" s="1063"/>
      <c r="BB29" s="1063"/>
      <c r="BC29" s="1063"/>
      <c r="BD29" s="1063"/>
      <c r="BE29" s="1063"/>
      <c r="BF29" s="1063"/>
      <c r="BG29" s="1063"/>
      <c r="BH29" s="1063"/>
      <c r="BI29" s="1063"/>
      <c r="BJ29" s="1063"/>
      <c r="BK29" s="1063"/>
      <c r="BL29" s="1063"/>
      <c r="BM29" s="1063"/>
      <c r="BN29" s="130"/>
      <c r="BO29" s="130"/>
      <c r="BP29" s="130"/>
      <c r="BQ29" s="130"/>
      <c r="BR29" s="130"/>
      <c r="BS29" s="130"/>
      <c r="BT29" s="130"/>
      <c r="BU29" s="44"/>
      <c r="BV29" s="44"/>
      <c r="BW29" s="44"/>
      <c r="BX29" s="44"/>
      <c r="BY29" s="44"/>
      <c r="BZ29" s="44"/>
      <c r="CA29" s="44"/>
      <c r="CB29" s="94"/>
      <c r="CC29" s="94"/>
      <c r="CD29" s="105"/>
      <c r="CE29" s="105"/>
      <c r="CF29" s="105"/>
      <c r="CG29" s="105"/>
      <c r="CH29" s="32"/>
      <c r="CQ29" s="17"/>
      <c r="CR29" s="17"/>
      <c r="CU29" s="1018"/>
      <c r="CV29" s="1018"/>
      <c r="CW29" s="1018"/>
      <c r="CX29" s="1018"/>
      <c r="CY29" s="1018"/>
      <c r="CZ29" s="1018"/>
      <c r="DA29" s="1018"/>
      <c r="DB29" s="1018"/>
      <c r="DC29" s="1018"/>
      <c r="DD29" s="1018"/>
      <c r="DE29" s="1018"/>
      <c r="DF29" s="1018"/>
      <c r="DG29" s="1018"/>
      <c r="DH29" s="1018"/>
      <c r="DI29" s="1018"/>
      <c r="DJ29" s="1018"/>
      <c r="DK29" s="1018"/>
      <c r="DL29" s="1018"/>
      <c r="DM29" s="1018"/>
      <c r="DN29" s="1018"/>
      <c r="DO29" s="1018"/>
      <c r="DP29" s="1018"/>
    </row>
    <row r="30" spans="1:120" s="4" customFormat="1" ht="22.5" customHeight="1" thickBot="1">
      <c r="A30" s="75"/>
      <c r="B30" s="1524"/>
      <c r="C30" s="1042" t="s">
        <v>613</v>
      </c>
      <c r="D30" s="868"/>
      <c r="E30" s="996"/>
      <c r="F30" s="1583"/>
      <c r="G30" s="1583"/>
      <c r="H30" s="1493"/>
      <c r="I30" s="1583"/>
      <c r="J30" s="591" t="s">
        <v>518</v>
      </c>
      <c r="K30" s="94"/>
      <c r="L30" s="94"/>
      <c r="M30" s="94"/>
      <c r="N30" s="94"/>
      <c r="O30" s="866"/>
      <c r="P30" s="1323"/>
      <c r="Q30" s="1534" t="str">
        <f>IF(AND(I25="NO",Q25="NO"),"",IF(Q25="YES",'CUSTOM FEED SET-UP'!F6,""))</f>
        <v/>
      </c>
      <c r="R30" s="1535"/>
      <c r="S30" s="75"/>
      <c r="T30" s="1142"/>
      <c r="U30" s="75"/>
      <c r="V30" s="1368"/>
      <c r="W30" s="1127"/>
      <c r="X30" s="1127"/>
      <c r="Y30" s="1127"/>
      <c r="Z30" s="1127"/>
      <c r="AA30" s="1127"/>
      <c r="AB30" s="1127"/>
      <c r="AC30" s="1127"/>
      <c r="AD30" s="1127"/>
      <c r="AE30" s="1447"/>
      <c r="AF30" s="1536" t="e">
        <f>E30/AF26</f>
        <v>#VALUE!</v>
      </c>
      <c r="AG30" s="44"/>
      <c r="AH30" s="1142"/>
      <c r="AI30" s="75"/>
      <c r="AJ30" s="75"/>
      <c r="AK30" s="75"/>
      <c r="AL30" s="75"/>
      <c r="AM30" s="75"/>
      <c r="AN30" s="75"/>
      <c r="AO30" s="75"/>
      <c r="AP30" s="75"/>
      <c r="AQ30" s="94"/>
      <c r="AR30" s="105"/>
      <c r="AS30" s="105"/>
      <c r="AT30" s="95"/>
      <c r="AU30" s="105"/>
      <c r="AV30" s="44"/>
      <c r="AW30" s="1063"/>
      <c r="AX30" s="1063"/>
      <c r="AY30" s="1063"/>
      <c r="AZ30" s="1063"/>
      <c r="BA30" s="1063"/>
      <c r="BB30" s="1063"/>
      <c r="BC30" s="1063"/>
      <c r="BD30" s="1063"/>
      <c r="BE30" s="1063"/>
      <c r="BF30" s="1063"/>
      <c r="BG30" s="1063"/>
      <c r="BH30" s="1063"/>
      <c r="BI30" s="1063"/>
      <c r="BJ30" s="1063"/>
      <c r="BK30" s="1063"/>
      <c r="BL30" s="1063"/>
      <c r="BM30" s="1063"/>
      <c r="BN30" s="130"/>
      <c r="BO30" s="130"/>
      <c r="BP30" s="130"/>
      <c r="BQ30" s="130"/>
      <c r="BR30" s="130"/>
      <c r="BS30" s="130"/>
      <c r="BT30" s="130"/>
      <c r="BU30" s="44"/>
      <c r="BV30" s="44"/>
      <c r="BW30" s="44"/>
      <c r="BX30" s="44"/>
      <c r="BY30" s="44"/>
      <c r="BZ30" s="44"/>
      <c r="CA30" s="44"/>
      <c r="CB30" s="94"/>
      <c r="CC30" s="94"/>
      <c r="CD30" s="105"/>
      <c r="CE30" s="105"/>
      <c r="CF30" s="105"/>
      <c r="CG30" s="105"/>
      <c r="CH30" s="32"/>
      <c r="CQ30" s="17"/>
      <c r="CR30" s="17"/>
      <c r="CU30" s="1018"/>
      <c r="CV30" s="1018"/>
      <c r="CW30" s="1018"/>
      <c r="CX30" s="1018"/>
      <c r="CY30" s="1018"/>
      <c r="CZ30" s="1018"/>
      <c r="DA30" s="1018"/>
      <c r="DB30" s="1018"/>
      <c r="DC30" s="1018"/>
      <c r="DD30" s="1018"/>
      <c r="DE30" s="1018"/>
      <c r="DF30" s="1018"/>
      <c r="DG30" s="1018"/>
      <c r="DH30" s="1018"/>
      <c r="DI30" s="1018"/>
      <c r="DJ30" s="1018"/>
      <c r="DK30" s="1018"/>
      <c r="DL30" s="1018"/>
      <c r="DM30" s="1018"/>
      <c r="DN30" s="1018"/>
      <c r="DO30" s="1018"/>
      <c r="DP30" s="1018"/>
    </row>
    <row r="31" spans="1:120" s="4" customFormat="1" ht="23.25" customHeight="1" thickBot="1">
      <c r="A31" s="75"/>
      <c r="B31" s="1524"/>
      <c r="C31" s="591" t="s">
        <v>611</v>
      </c>
      <c r="D31" s="552"/>
      <c r="E31" s="1312" t="str">
        <f>IF(AF22="+",AF31,IF(AND(Q25="YES",AF23="3/4"),AF32,""))</f>
        <v/>
      </c>
      <c r="F31" s="1601" t="str">
        <f>IF(E31="","",IF(AND(E28="",E31=AF32),"Using fodder beet DM% calc","Using direct input DM%"))</f>
        <v/>
      </c>
      <c r="G31" s="1583"/>
      <c r="H31" s="1493"/>
      <c r="I31" s="1583"/>
      <c r="J31" s="1314" t="s">
        <v>603</v>
      </c>
      <c r="N31" s="860"/>
      <c r="O31" s="1541"/>
      <c r="P31" s="1542"/>
      <c r="Q31" s="1602" t="str">
        <f>IF(OR(Q25="NO",M28=""),"",VLOOKUP(M28,'CUSTOM FEED SET-UP'!B5:F12,4,FALSE))</f>
        <v/>
      </c>
      <c r="R31" s="1535"/>
      <c r="S31" s="75"/>
      <c r="T31" s="1142"/>
      <c r="U31" s="75"/>
      <c r="V31" s="1368"/>
      <c r="W31" s="1127"/>
      <c r="X31" s="1127"/>
      <c r="Y31" s="1127"/>
      <c r="Z31" s="1127"/>
      <c r="AA31" s="1127"/>
      <c r="AB31" s="1127"/>
      <c r="AC31" s="1127"/>
      <c r="AD31" s="1127"/>
      <c r="AE31" s="1447"/>
      <c r="AF31" s="1537" t="e">
        <f>AF27*O6</f>
        <v>#DIV/0!</v>
      </c>
      <c r="AG31" s="44"/>
      <c r="AH31" s="1142"/>
      <c r="AI31" s="75"/>
      <c r="AJ31" s="75"/>
      <c r="AK31" s="75"/>
      <c r="AL31" s="75"/>
      <c r="AM31" s="75"/>
      <c r="AN31" s="75"/>
      <c r="AO31" s="75"/>
      <c r="AP31" s="75"/>
      <c r="AQ31" s="94"/>
      <c r="AR31" s="105"/>
      <c r="AS31" s="105"/>
      <c r="AT31" s="105"/>
      <c r="AU31" s="105"/>
      <c r="AV31" s="44"/>
      <c r="AW31" s="1063"/>
      <c r="AX31" s="1063"/>
      <c r="AY31" s="1063"/>
      <c r="AZ31" s="1063"/>
      <c r="BA31" s="1063"/>
      <c r="BB31" s="1063"/>
      <c r="BC31" s="1063"/>
      <c r="BD31" s="1063"/>
      <c r="BE31" s="1063"/>
      <c r="BF31" s="1063"/>
      <c r="BG31" s="1063"/>
      <c r="BH31" s="1063"/>
      <c r="BI31" s="1063"/>
      <c r="BJ31" s="1063"/>
      <c r="BK31" s="1063"/>
      <c r="BL31" s="1063"/>
      <c r="BM31" s="1063"/>
      <c r="BN31" s="130"/>
      <c r="BO31" s="130"/>
      <c r="BP31" s="130"/>
      <c r="BQ31" s="130"/>
      <c r="BR31" s="130"/>
      <c r="BS31" s="130"/>
      <c r="BT31" s="130"/>
      <c r="BU31" s="44"/>
      <c r="BV31" s="44"/>
      <c r="BW31" s="44"/>
      <c r="BX31" s="44"/>
      <c r="BY31" s="44"/>
      <c r="BZ31" s="44"/>
      <c r="CA31" s="44"/>
      <c r="CB31" s="94"/>
      <c r="CC31" s="94"/>
      <c r="CD31" s="105"/>
      <c r="CE31" s="105"/>
      <c r="CF31" s="105"/>
      <c r="CG31" s="105"/>
      <c r="CH31" s="32"/>
      <c r="CQ31" s="17"/>
      <c r="CR31" s="17"/>
      <c r="CU31" s="1018"/>
      <c r="CV31" s="1018"/>
      <c r="CW31" s="1018"/>
      <c r="CX31" s="1018"/>
      <c r="CY31" s="1018"/>
      <c r="CZ31" s="1018"/>
      <c r="DA31" s="1018"/>
      <c r="DB31" s="1018"/>
      <c r="DC31" s="1018"/>
      <c r="DD31" s="1018"/>
      <c r="DE31" s="1018"/>
      <c r="DF31" s="1018"/>
      <c r="DG31" s="1018"/>
      <c r="DH31" s="1018"/>
      <c r="DI31" s="1018"/>
      <c r="DJ31" s="1018"/>
      <c r="DK31" s="1018"/>
      <c r="DL31" s="1018"/>
      <c r="DM31" s="1018"/>
      <c r="DN31" s="1018"/>
      <c r="DO31" s="1018"/>
      <c r="DP31" s="1018"/>
    </row>
    <row r="32" spans="1:120" s="1435" customFormat="1" ht="12" customHeight="1">
      <c r="A32" s="898"/>
      <c r="B32" s="1526"/>
      <c r="C32" s="1527"/>
      <c r="D32" s="1527"/>
      <c r="E32" s="1527"/>
      <c r="F32" s="1587"/>
      <c r="G32" s="1587"/>
      <c r="H32" s="1587"/>
      <c r="I32" s="1588"/>
      <c r="J32" s="1528"/>
      <c r="K32" s="1529"/>
      <c r="L32" s="1528"/>
      <c r="M32" s="1528"/>
      <c r="N32" s="1528"/>
      <c r="O32" s="1530"/>
      <c r="P32" s="1531"/>
      <c r="Q32" s="1532"/>
      <c r="R32" s="1533"/>
      <c r="S32" s="1428"/>
      <c r="T32" s="1429"/>
      <c r="U32" s="1428"/>
      <c r="V32" s="1445"/>
      <c r="W32" s="1449"/>
      <c r="X32" s="1449"/>
      <c r="Y32" s="1449"/>
      <c r="Z32" s="1449"/>
      <c r="AA32" s="1449"/>
      <c r="AB32" s="1449"/>
      <c r="AC32" s="1449"/>
      <c r="AD32" s="1449"/>
      <c r="AE32" s="1448"/>
      <c r="AF32" s="1538" t="e">
        <f>AF28*O6</f>
        <v>#VALUE!</v>
      </c>
      <c r="AG32" s="899"/>
      <c r="AH32" s="1430"/>
      <c r="AI32" s="1431"/>
      <c r="AJ32" s="898"/>
      <c r="AK32" s="898"/>
      <c r="AL32" s="898"/>
      <c r="AM32" s="898"/>
      <c r="AN32" s="898"/>
      <c r="AO32" s="898"/>
      <c r="AP32" s="898"/>
      <c r="AQ32" s="1428"/>
      <c r="AR32" s="1432"/>
      <c r="AS32" s="1432"/>
      <c r="AT32" s="1432"/>
      <c r="AU32" s="1432"/>
      <c r="AV32" s="899"/>
      <c r="AW32" s="1433"/>
      <c r="AX32" s="1433"/>
      <c r="AY32" s="1433"/>
      <c r="AZ32" s="1433"/>
      <c r="BA32" s="1433"/>
      <c r="BB32" s="1433"/>
      <c r="BC32" s="1433"/>
      <c r="BD32" s="1433"/>
      <c r="BE32" s="1433"/>
      <c r="BF32" s="1433"/>
      <c r="BG32" s="1433"/>
      <c r="BH32" s="1433"/>
      <c r="BI32" s="1433"/>
      <c r="BJ32" s="1433"/>
      <c r="BK32" s="1433"/>
      <c r="BL32" s="1433"/>
      <c r="BM32" s="1433"/>
      <c r="BN32" s="926"/>
      <c r="BO32" s="926"/>
      <c r="BP32" s="926"/>
      <c r="BQ32" s="926"/>
      <c r="BR32" s="926"/>
      <c r="BS32" s="926"/>
      <c r="BT32" s="926"/>
      <c r="BU32" s="899"/>
      <c r="BV32" s="899"/>
      <c r="BW32" s="899"/>
      <c r="BX32" s="899"/>
      <c r="BY32" s="899"/>
      <c r="BZ32" s="899"/>
      <c r="CA32" s="899"/>
      <c r="CB32" s="1428"/>
      <c r="CC32" s="1428"/>
      <c r="CD32" s="1432"/>
      <c r="CE32" s="1432"/>
      <c r="CF32" s="1432"/>
      <c r="CG32" s="1432"/>
      <c r="CH32" s="1434"/>
      <c r="CM32" s="1436"/>
      <c r="CQ32" s="1437"/>
      <c r="CR32" s="1437"/>
      <c r="CU32" s="1438"/>
      <c r="CV32" s="1438"/>
      <c r="CW32" s="1438"/>
      <c r="CX32" s="1438"/>
      <c r="CY32" s="1438"/>
      <c r="CZ32" s="1438"/>
      <c r="DA32" s="1438"/>
      <c r="DB32" s="1438"/>
      <c r="DC32" s="1438"/>
      <c r="DD32" s="1438"/>
      <c r="DE32" s="1438"/>
      <c r="DF32" s="1438"/>
      <c r="DG32" s="1438"/>
      <c r="DH32" s="1438"/>
      <c r="DI32" s="1438"/>
      <c r="DJ32" s="1438"/>
      <c r="DK32" s="1438"/>
      <c r="DL32" s="1438"/>
      <c r="DM32" s="1438"/>
      <c r="DN32" s="1438"/>
      <c r="DO32" s="1438"/>
      <c r="DP32" s="1438"/>
    </row>
    <row r="33" spans="1:120" s="4" customFormat="1" ht="20.25" customHeight="1">
      <c r="A33" s="75"/>
      <c r="B33" s="75"/>
      <c r="C33" s="75"/>
      <c r="D33" s="75"/>
      <c r="E33" s="75"/>
      <c r="F33" s="75"/>
      <c r="G33" s="75"/>
      <c r="H33" s="75"/>
      <c r="I33" s="75"/>
      <c r="J33" s="75"/>
      <c r="K33" s="75"/>
      <c r="L33" s="75"/>
      <c r="M33" s="75"/>
      <c r="N33" s="75"/>
      <c r="O33" s="75"/>
      <c r="P33" s="75"/>
      <c r="Q33" s="75"/>
      <c r="R33" s="1003"/>
      <c r="S33" s="1036"/>
      <c r="T33" s="1146"/>
      <c r="U33" s="1036"/>
      <c r="V33" s="1685" t="s">
        <v>425</v>
      </c>
      <c r="W33" s="1686"/>
      <c r="X33" s="1686"/>
      <c r="Y33" s="1686"/>
      <c r="Z33" s="1686"/>
      <c r="AA33" s="1686"/>
      <c r="AB33" s="1686"/>
      <c r="AC33" s="1686"/>
      <c r="AD33" s="1686"/>
      <c r="AE33" s="1687"/>
      <c r="AF33" s="1292"/>
      <c r="AG33" s="44"/>
      <c r="AH33" s="1142"/>
      <c r="AI33" s="1003"/>
      <c r="AJ33" s="1769" t="s">
        <v>437</v>
      </c>
      <c r="AK33" s="1770"/>
      <c r="AL33" s="1770"/>
      <c r="AM33" s="1771"/>
      <c r="AN33" s="1102" t="s">
        <v>180</v>
      </c>
      <c r="AO33" s="75"/>
      <c r="AP33" s="75"/>
      <c r="AQ33" s="75"/>
      <c r="AR33" s="75"/>
      <c r="AS33" s="75"/>
      <c r="AT33" s="75"/>
      <c r="AU33" s="75"/>
      <c r="AV33" s="44"/>
      <c r="AW33" s="94"/>
      <c r="AX33" s="1148"/>
      <c r="AY33" s="1148"/>
      <c r="AZ33" s="1148"/>
      <c r="BA33" s="1148"/>
      <c r="BB33" s="1063"/>
      <c r="BC33" s="1063"/>
      <c r="BD33" s="1063"/>
      <c r="BE33" s="1063"/>
      <c r="BF33" s="1063"/>
      <c r="BG33" s="1063"/>
      <c r="BH33" s="1063"/>
      <c r="BI33" s="1063"/>
      <c r="BJ33" s="1063"/>
      <c r="BK33" s="1063"/>
      <c r="BL33" s="1063"/>
      <c r="BM33" s="1063"/>
      <c r="BN33" s="130"/>
      <c r="BO33" s="130"/>
      <c r="BP33" s="130"/>
      <c r="BQ33" s="130"/>
      <c r="BR33" s="130"/>
      <c r="BS33" s="130"/>
      <c r="BT33" s="130"/>
      <c r="BU33" s="44"/>
      <c r="BV33" s="44"/>
      <c r="BW33" s="44"/>
      <c r="BX33" s="44"/>
      <c r="BY33" s="44"/>
      <c r="BZ33" s="44"/>
      <c r="CA33" s="44"/>
      <c r="CB33" s="94"/>
      <c r="CC33" s="94"/>
      <c r="CD33" s="105"/>
      <c r="CE33" s="105"/>
      <c r="CF33" s="105"/>
      <c r="CG33" s="105"/>
      <c r="CH33" s="32"/>
      <c r="CQ33" s="17"/>
      <c r="CR33" s="17"/>
      <c r="CU33" s="1018"/>
      <c r="CV33" s="1018"/>
      <c r="CW33" s="1018"/>
      <c r="CX33" s="1018"/>
      <c r="CY33" s="1018"/>
      <c r="CZ33" s="1018"/>
      <c r="DA33" s="1018"/>
      <c r="DB33" s="1018"/>
      <c r="DC33" s="1018"/>
      <c r="DD33" s="1018"/>
      <c r="DE33" s="1018"/>
      <c r="DF33" s="1018"/>
      <c r="DG33" s="1018"/>
      <c r="DH33" s="1018"/>
      <c r="DI33" s="1018"/>
      <c r="DJ33" s="1018"/>
      <c r="DK33" s="1018"/>
      <c r="DL33" s="1018"/>
      <c r="DM33" s="1018"/>
      <c r="DN33" s="1018"/>
      <c r="DO33" s="1018"/>
      <c r="DP33" s="1018"/>
    </row>
    <row r="34" spans="1:120" ht="15" customHeight="1" thickBot="1">
      <c r="A34" s="75"/>
      <c r="B34" s="44"/>
      <c r="C34" s="44"/>
      <c r="D34" s="899"/>
      <c r="E34" s="44"/>
      <c r="F34" s="44"/>
      <c r="G34" s="44"/>
      <c r="H34" s="112"/>
      <c r="I34" s="112"/>
      <c r="J34" s="75"/>
      <c r="K34" s="112"/>
      <c r="L34" s="75"/>
      <c r="M34" s="75"/>
      <c r="N34" s="75"/>
      <c r="O34" s="1315" t="s">
        <v>426</v>
      </c>
      <c r="P34" s="68"/>
      <c r="Q34" s="1102" t="s">
        <v>180</v>
      </c>
      <c r="R34" s="1036"/>
      <c r="S34" s="1036"/>
      <c r="T34" s="1146"/>
      <c r="U34" s="1036"/>
      <c r="V34" s="1688"/>
      <c r="W34" s="1689"/>
      <c r="X34" s="1689"/>
      <c r="Y34" s="1689"/>
      <c r="Z34" s="1689"/>
      <c r="AA34" s="1689"/>
      <c r="AB34" s="1689"/>
      <c r="AC34" s="1689"/>
      <c r="AD34" s="1689"/>
      <c r="AE34" s="1690"/>
      <c r="AF34" s="1292"/>
      <c r="AG34" s="44"/>
      <c r="AH34" s="1142"/>
      <c r="AI34" s="1036"/>
      <c r="AJ34" s="1003"/>
      <c r="AK34" s="75"/>
      <c r="AL34" s="75"/>
      <c r="AM34" s="75"/>
      <c r="AN34" s="75"/>
      <c r="AO34" s="75"/>
      <c r="AQ34" s="75"/>
      <c r="AR34" s="75"/>
      <c r="AS34" s="75"/>
      <c r="AT34" s="75"/>
      <c r="AU34" s="75"/>
      <c r="AV34" s="44"/>
      <c r="AW34" s="1148"/>
      <c r="AX34" s="1148"/>
      <c r="AY34" s="1148"/>
      <c r="AZ34" s="1148"/>
      <c r="BA34" s="1148"/>
      <c r="BB34" s="44"/>
      <c r="BC34" s="44"/>
      <c r="BD34" s="44"/>
      <c r="BE34" s="44"/>
      <c r="BF34" s="44"/>
      <c r="BG34" s="44"/>
      <c r="BH34" s="44"/>
      <c r="BI34" s="44"/>
      <c r="BJ34" s="44"/>
      <c r="BK34" s="44"/>
      <c r="BL34" s="44"/>
      <c r="BM34" s="44"/>
      <c r="BN34" s="44"/>
      <c r="BO34" s="44"/>
      <c r="BP34" s="105"/>
      <c r="BQ34" s="105"/>
      <c r="BR34" s="105"/>
      <c r="BS34" s="105"/>
      <c r="BT34" s="105"/>
      <c r="BU34" s="44"/>
      <c r="BV34" s="1222"/>
      <c r="BW34" s="105"/>
      <c r="BX34" s="1170"/>
      <c r="BY34" s="75"/>
      <c r="BZ34" s="75"/>
      <c r="CA34" s="75"/>
      <c r="CB34" s="44"/>
      <c r="CC34" s="44"/>
      <c r="CD34" s="44"/>
      <c r="CE34" s="44"/>
      <c r="CF34" s="44"/>
      <c r="CG34" s="44"/>
      <c r="CU34" s="1017"/>
      <c r="CV34" s="1017"/>
      <c r="CW34" s="1017"/>
      <c r="CX34" s="1017"/>
      <c r="CY34" s="1017"/>
      <c r="CZ34" s="1017"/>
      <c r="DA34" s="1017"/>
      <c r="DB34" s="1017"/>
      <c r="DC34" s="1017"/>
      <c r="DD34" s="1017"/>
      <c r="DE34" s="1017"/>
      <c r="DF34" s="1017"/>
      <c r="DG34" s="1017"/>
      <c r="DH34" s="1017"/>
      <c r="DI34" s="1017"/>
      <c r="DJ34" s="1017"/>
      <c r="DK34" s="1017"/>
      <c r="DL34" s="1017"/>
      <c r="DM34" s="1017"/>
      <c r="DN34" s="1017"/>
      <c r="DO34" s="1017"/>
      <c r="DP34" s="1017"/>
    </row>
    <row r="35" spans="1:120" s="53" customFormat="1" ht="22.5" customHeight="1">
      <c r="A35" s="75"/>
      <c r="B35" s="1561" t="s">
        <v>510</v>
      </c>
      <c r="C35" s="1562"/>
      <c r="D35" s="1562"/>
      <c r="E35" s="1562"/>
      <c r="F35" s="1562"/>
      <c r="G35" s="1562"/>
      <c r="H35" s="1562"/>
      <c r="I35" s="1562"/>
      <c r="J35" s="1078"/>
      <c r="K35" s="1778" t="s">
        <v>201</v>
      </c>
      <c r="L35" s="1779"/>
      <c r="M35" s="1780"/>
      <c r="N35" s="1563"/>
      <c r="O35" s="1778" t="s">
        <v>202</v>
      </c>
      <c r="P35" s="1779"/>
      <c r="Q35" s="1780"/>
      <c r="R35" s="1228"/>
      <c r="S35" s="1036"/>
      <c r="T35" s="1146"/>
      <c r="U35" s="1036"/>
      <c r="V35" s="1364"/>
      <c r="W35" s="1134"/>
      <c r="X35" s="1134"/>
      <c r="Y35" s="1134"/>
      <c r="Z35" s="1134"/>
      <c r="AA35" s="1134"/>
      <c r="AB35" s="1134"/>
      <c r="AC35" s="1134"/>
      <c r="AD35" s="1134"/>
      <c r="AE35" s="1365"/>
      <c r="AF35" s="1289"/>
      <c r="AG35" s="44"/>
      <c r="AH35" s="1142"/>
      <c r="AI35" s="1036"/>
      <c r="AJ35" s="1794" t="s">
        <v>550</v>
      </c>
      <c r="AK35" s="1795"/>
      <c r="AL35" s="1795"/>
      <c r="AM35" s="1795"/>
      <c r="AN35" s="1713" t="s">
        <v>201</v>
      </c>
      <c r="AO35" s="1714"/>
      <c r="AP35" s="1111"/>
      <c r="AQ35" s="1713" t="s">
        <v>202</v>
      </c>
      <c r="AR35" s="1714"/>
      <c r="AS35" s="1166"/>
      <c r="AT35" s="75"/>
      <c r="AU35" s="1077" t="s">
        <v>551</v>
      </c>
      <c r="AV35" s="1172"/>
      <c r="AW35" s="1710" t="s">
        <v>196</v>
      </c>
      <c r="AX35" s="1710"/>
      <c r="AY35" s="1710"/>
      <c r="AZ35" s="1710"/>
      <c r="BA35" s="1710"/>
      <c r="BB35" s="1173"/>
      <c r="BC35" s="1710" t="s">
        <v>197</v>
      </c>
      <c r="BD35" s="1710"/>
      <c r="BE35" s="1710"/>
      <c r="BF35" s="1710"/>
      <c r="BG35" s="1710"/>
      <c r="BH35" s="1710"/>
      <c r="BI35" s="1710"/>
      <c r="BJ35" s="1710"/>
      <c r="BK35" s="1710"/>
      <c r="BL35" s="1710"/>
      <c r="BM35" s="1173"/>
      <c r="BN35" s="1715" t="s">
        <v>350</v>
      </c>
      <c r="BO35" s="1715"/>
      <c r="BP35" s="1715"/>
      <c r="BQ35" s="1715"/>
      <c r="BR35" s="1715"/>
      <c r="BS35" s="1715"/>
      <c r="BT35" s="1715"/>
      <c r="BU35" s="1174"/>
      <c r="BV35" s="1191" t="s">
        <v>264</v>
      </c>
      <c r="BW35" s="1172"/>
      <c r="BX35" s="1715" t="s">
        <v>413</v>
      </c>
      <c r="BY35" s="1715"/>
      <c r="BZ35" s="1715"/>
      <c r="CA35" s="1715"/>
      <c r="CB35" s="1175"/>
      <c r="CC35" s="94"/>
      <c r="CD35" s="44"/>
      <c r="CE35" s="44"/>
      <c r="CF35" s="94"/>
      <c r="CG35" s="94"/>
      <c r="CQ35" s="32"/>
      <c r="CR35" s="32"/>
      <c r="CU35" s="1022"/>
      <c r="CV35" s="1022"/>
      <c r="CW35" s="1022"/>
      <c r="CX35" s="1022"/>
      <c r="CY35" s="1022"/>
      <c r="CZ35" s="1022"/>
      <c r="DA35" s="1022"/>
      <c r="DB35" s="1022"/>
      <c r="DC35" s="1022"/>
      <c r="DD35" s="1022"/>
      <c r="DE35" s="1022"/>
      <c r="DF35" s="1022"/>
      <c r="DG35" s="1022"/>
      <c r="DH35" s="1022"/>
      <c r="DI35" s="1022"/>
      <c r="DJ35" s="1022"/>
      <c r="DK35" s="1022"/>
      <c r="DL35" s="1022"/>
      <c r="DM35" s="1022"/>
      <c r="DN35" s="1022"/>
      <c r="DO35" s="1022"/>
      <c r="DP35" s="1022"/>
    </row>
    <row r="36" spans="1:120" s="7" customFormat="1" ht="21.75" customHeight="1" thickBot="1">
      <c r="A36" s="75"/>
      <c r="B36" s="1564"/>
      <c r="C36" s="1565"/>
      <c r="D36" s="1565"/>
      <c r="E36" s="1565"/>
      <c r="F36" s="1565"/>
      <c r="G36" s="1565"/>
      <c r="H36" s="1565"/>
      <c r="I36" s="1565"/>
      <c r="J36" s="8"/>
      <c r="K36" s="1566" t="s">
        <v>433</v>
      </c>
      <c r="L36" s="1223"/>
      <c r="M36" s="1567" t="s">
        <v>434</v>
      </c>
      <c r="N36" s="1568"/>
      <c r="O36" s="1566" t="s">
        <v>433</v>
      </c>
      <c r="P36" s="1223"/>
      <c r="Q36" s="1567" t="s">
        <v>434</v>
      </c>
      <c r="R36" s="1029"/>
      <c r="S36" s="1036"/>
      <c r="T36" s="1146"/>
      <c r="U36" s="1036"/>
      <c r="V36" s="1366"/>
      <c r="W36" s="1691" t="s">
        <v>164</v>
      </c>
      <c r="X36" s="1691"/>
      <c r="Y36" s="1691"/>
      <c r="Z36" s="1134"/>
      <c r="AA36" s="1317" t="s">
        <v>201</v>
      </c>
      <c r="AB36" s="1441"/>
      <c r="AC36" s="1317" t="s">
        <v>202</v>
      </c>
      <c r="AD36" s="1134"/>
      <c r="AE36" s="1367"/>
      <c r="AF36" s="1289"/>
      <c r="AG36" s="105"/>
      <c r="AH36" s="1142"/>
      <c r="AI36" s="1036"/>
      <c r="AJ36" s="1035"/>
      <c r="AN36" s="1035"/>
      <c r="AO36" s="1104"/>
      <c r="AP36" s="594"/>
      <c r="AQ36" s="1035"/>
      <c r="AR36" s="1105"/>
      <c r="AS36" s="1167"/>
      <c r="AT36" s="75"/>
      <c r="AU36" s="1182"/>
      <c r="AV36" s="75"/>
      <c r="AW36" s="44"/>
      <c r="AX36" s="44"/>
      <c r="AY36" s="44"/>
      <c r="AZ36" s="44"/>
      <c r="BA36" s="44"/>
      <c r="BB36" s="105"/>
      <c r="BC36" s="105"/>
      <c r="BD36" s="105"/>
      <c r="BE36" s="105"/>
      <c r="BF36" s="105"/>
      <c r="BG36" s="105"/>
      <c r="BH36" s="105"/>
      <c r="BI36" s="105"/>
      <c r="BJ36" s="105"/>
      <c r="BK36" s="105"/>
      <c r="BL36" s="105"/>
      <c r="BM36" s="105"/>
      <c r="BN36" s="44"/>
      <c r="BO36" s="44"/>
      <c r="BP36" s="44"/>
      <c r="BQ36" s="44"/>
      <c r="BR36" s="44"/>
      <c r="BS36" s="44"/>
      <c r="BT36" s="44"/>
      <c r="BU36" s="44"/>
      <c r="BV36" s="94"/>
      <c r="BW36" s="44"/>
      <c r="BX36" s="44"/>
      <c r="BY36" s="44"/>
      <c r="BZ36" s="44"/>
      <c r="CA36" s="44"/>
      <c r="CB36" s="1176"/>
      <c r="CC36" s="44"/>
      <c r="CD36" s="94"/>
      <c r="CE36" s="94"/>
      <c r="CF36" s="44"/>
      <c r="CG36" s="44"/>
      <c r="CQ36" s="8"/>
      <c r="CR36" s="8"/>
      <c r="CU36" s="1019"/>
      <c r="CV36" s="1019"/>
      <c r="CW36" s="1019"/>
      <c r="CX36" s="1019"/>
      <c r="CY36" s="1019"/>
      <c r="CZ36" s="1019"/>
      <c r="DA36" s="1019"/>
      <c r="DB36" s="1019"/>
      <c r="DC36" s="1019"/>
      <c r="DD36" s="1019"/>
      <c r="DE36" s="1019"/>
      <c r="DF36" s="1019"/>
      <c r="DG36" s="1019"/>
      <c r="DH36" s="1019"/>
      <c r="DI36" s="1019"/>
      <c r="DJ36" s="1019"/>
      <c r="DK36" s="1019"/>
      <c r="DL36" s="1019"/>
      <c r="DM36" s="1019"/>
      <c r="DN36" s="1019"/>
      <c r="DO36" s="1019"/>
      <c r="DP36" s="1019"/>
    </row>
    <row r="37" spans="1:120" s="7" customFormat="1" ht="25.5" customHeight="1" thickBot="1">
      <c r="A37" s="75"/>
      <c r="B37" s="1569"/>
      <c r="C37" s="1785" t="s">
        <v>339</v>
      </c>
      <c r="D37" s="1853"/>
      <c r="E37" s="1788" t="s">
        <v>182</v>
      </c>
      <c r="F37" s="1785"/>
      <c r="G37" s="1854"/>
      <c r="H37" s="1788" t="s">
        <v>146</v>
      </c>
      <c r="I37" s="1785"/>
      <c r="J37" s="1784" t="s">
        <v>140</v>
      </c>
      <c r="K37" s="1789" t="s">
        <v>586</v>
      </c>
      <c r="L37" s="1223"/>
      <c r="M37" s="1785" t="s">
        <v>586</v>
      </c>
      <c r="N37" s="1568"/>
      <c r="O37" s="1789" t="s">
        <v>586</v>
      </c>
      <c r="P37" s="1570"/>
      <c r="Q37" s="1785" t="s">
        <v>586</v>
      </c>
      <c r="R37" s="1029"/>
      <c r="S37" s="1036"/>
      <c r="T37" s="1146"/>
      <c r="U37" s="1036"/>
      <c r="V37" s="1366"/>
      <c r="W37" s="1439"/>
      <c r="X37" s="1439"/>
      <c r="Y37" s="1259"/>
      <c r="Z37" s="8"/>
      <c r="AA37" s="1440"/>
      <c r="AB37" s="8"/>
      <c r="AC37" s="1440"/>
      <c r="AD37" s="8"/>
      <c r="AE37" s="1367"/>
      <c r="AF37" s="1289"/>
      <c r="AG37" s="105"/>
      <c r="AH37" s="1142"/>
      <c r="AI37" s="1036"/>
      <c r="AJ37" s="1035"/>
      <c r="AK37" s="1792" t="s">
        <v>424</v>
      </c>
      <c r="AL37" s="1792" t="s">
        <v>422</v>
      </c>
      <c r="AM37" s="1093"/>
      <c r="AN37" s="1708" t="s">
        <v>445</v>
      </c>
      <c r="AO37" s="1786" t="s">
        <v>411</v>
      </c>
      <c r="AP37" s="1107"/>
      <c r="AQ37" s="1708" t="s">
        <v>445</v>
      </c>
      <c r="AR37" s="1786" t="s">
        <v>411</v>
      </c>
      <c r="AS37" s="1167"/>
      <c r="AT37" s="75"/>
      <c r="AU37" s="1708" t="s">
        <v>339</v>
      </c>
      <c r="AV37" s="1183" t="s">
        <v>423</v>
      </c>
      <c r="AW37" s="1183" t="s">
        <v>140</v>
      </c>
      <c r="AX37" s="1183" t="s">
        <v>2</v>
      </c>
      <c r="AY37" s="1183" t="s">
        <v>1</v>
      </c>
      <c r="AZ37" s="1183" t="s">
        <v>58</v>
      </c>
      <c r="BA37" s="1183" t="s">
        <v>1</v>
      </c>
      <c r="BB37" s="1242"/>
      <c r="BC37" s="1711" t="s">
        <v>116</v>
      </c>
      <c r="BD37" s="1712"/>
      <c r="BE37" s="1711" t="s">
        <v>12</v>
      </c>
      <c r="BF37" s="1712"/>
      <c r="BG37" s="1711" t="s">
        <v>13</v>
      </c>
      <c r="BH37" s="1712"/>
      <c r="BI37" s="1711" t="s">
        <v>118</v>
      </c>
      <c r="BJ37" s="1712"/>
      <c r="BK37" s="1711" t="s">
        <v>119</v>
      </c>
      <c r="BL37" s="1712"/>
      <c r="BM37" s="1242"/>
      <c r="BN37" s="1183" t="s">
        <v>256</v>
      </c>
      <c r="BO37" s="1183" t="s">
        <v>258</v>
      </c>
      <c r="BP37" s="1183" t="s">
        <v>259</v>
      </c>
      <c r="BQ37" s="1183" t="s">
        <v>260</v>
      </c>
      <c r="BR37" s="1183" t="s">
        <v>261</v>
      </c>
      <c r="BS37" s="1183" t="s">
        <v>262</v>
      </c>
      <c r="BT37" s="1183" t="s">
        <v>263</v>
      </c>
      <c r="BU37" s="1385"/>
      <c r="BV37" s="1191" t="s">
        <v>365</v>
      </c>
      <c r="BW37" s="1385"/>
      <c r="BX37" s="1183" t="s">
        <v>170</v>
      </c>
      <c r="BY37" s="1183" t="s">
        <v>2</v>
      </c>
      <c r="BZ37" s="1183" t="s">
        <v>2</v>
      </c>
      <c r="CA37" s="1183" t="s">
        <v>167</v>
      </c>
      <c r="CB37" s="1388"/>
      <c r="CC37" s="44"/>
      <c r="CD37" s="94"/>
      <c r="CE37" s="94"/>
      <c r="CF37" s="44"/>
      <c r="CG37" s="44"/>
      <c r="CQ37" s="8"/>
      <c r="CR37" s="8"/>
      <c r="CU37" s="1019"/>
      <c r="CV37" s="1019"/>
      <c r="CW37" s="1019"/>
      <c r="CX37" s="1019"/>
      <c r="CY37" s="1019"/>
      <c r="CZ37" s="1019"/>
      <c r="DA37" s="1019"/>
      <c r="DB37" s="1019"/>
      <c r="DC37" s="1019"/>
      <c r="DD37" s="1019"/>
      <c r="DE37" s="1019"/>
      <c r="DF37" s="1019"/>
      <c r="DG37" s="1019"/>
      <c r="DH37" s="1019"/>
      <c r="DI37" s="1019"/>
      <c r="DJ37" s="1019"/>
      <c r="DK37" s="1019"/>
      <c r="DL37" s="1019"/>
      <c r="DM37" s="1019"/>
      <c r="DN37" s="1019"/>
      <c r="DO37" s="1019"/>
      <c r="DP37" s="1019"/>
    </row>
    <row r="38" spans="1:120" s="7" customFormat="1" ht="11.25" customHeight="1">
      <c r="A38" s="75"/>
      <c r="B38" s="1569"/>
      <c r="C38" s="1785"/>
      <c r="D38" s="1853"/>
      <c r="E38" s="1788"/>
      <c r="F38" s="1785"/>
      <c r="G38" s="1854"/>
      <c r="H38" s="1788"/>
      <c r="I38" s="1785"/>
      <c r="J38" s="1784"/>
      <c r="K38" s="1789"/>
      <c r="L38" s="1571"/>
      <c r="M38" s="1785"/>
      <c r="N38" s="1016"/>
      <c r="O38" s="1789"/>
      <c r="P38" s="1572"/>
      <c r="Q38" s="1785"/>
      <c r="R38" s="1029"/>
      <c r="S38" s="1036"/>
      <c r="T38" s="1146"/>
      <c r="U38" s="1036"/>
      <c r="V38" s="1366"/>
      <c r="AB38" s="129"/>
      <c r="AD38" s="8"/>
      <c r="AE38" s="1367"/>
      <c r="AF38" s="1289"/>
      <c r="AG38" s="105"/>
      <c r="AH38" s="1142"/>
      <c r="AI38" s="1036"/>
      <c r="AJ38" s="1035"/>
      <c r="AK38" s="1793"/>
      <c r="AL38" s="1793"/>
      <c r="AM38" s="1093"/>
      <c r="AN38" s="1709"/>
      <c r="AO38" s="1787"/>
      <c r="AP38" s="1107"/>
      <c r="AQ38" s="1709"/>
      <c r="AR38" s="1787"/>
      <c r="AS38" s="1167"/>
      <c r="AT38" s="75"/>
      <c r="AU38" s="1709"/>
      <c r="AV38" s="1184"/>
      <c r="AW38" s="1184"/>
      <c r="AX38" s="1185"/>
      <c r="AY38" s="1185"/>
      <c r="AZ38" s="1185"/>
      <c r="BA38" s="1186" t="s">
        <v>141</v>
      </c>
      <c r="BB38" s="1392"/>
      <c r="BC38" s="1189" t="s">
        <v>11</v>
      </c>
      <c r="BD38" s="1190" t="s">
        <v>90</v>
      </c>
      <c r="BE38" s="1189" t="s">
        <v>11</v>
      </c>
      <c r="BF38" s="1190" t="s">
        <v>90</v>
      </c>
      <c r="BG38" s="1189" t="s">
        <v>11</v>
      </c>
      <c r="BH38" s="1190" t="s">
        <v>90</v>
      </c>
      <c r="BI38" s="1189" t="s">
        <v>30</v>
      </c>
      <c r="BJ38" s="1190" t="s">
        <v>90</v>
      </c>
      <c r="BK38" s="1189" t="s">
        <v>11</v>
      </c>
      <c r="BL38" s="1190" t="s">
        <v>90</v>
      </c>
      <c r="BM38" s="1242"/>
      <c r="BN38" s="1186" t="s">
        <v>257</v>
      </c>
      <c r="BO38" s="1186" t="s">
        <v>257</v>
      </c>
      <c r="BP38" s="1186" t="s">
        <v>257</v>
      </c>
      <c r="BQ38" s="1186" t="s">
        <v>257</v>
      </c>
      <c r="BR38" s="1186" t="s">
        <v>257</v>
      </c>
      <c r="BS38" s="1186" t="s">
        <v>257</v>
      </c>
      <c r="BT38" s="1186" t="s">
        <v>257</v>
      </c>
      <c r="BU38" s="1385"/>
      <c r="BV38" s="1191" t="s">
        <v>366</v>
      </c>
      <c r="BW38" s="1395"/>
      <c r="BX38" s="1183" t="s">
        <v>169</v>
      </c>
      <c r="BY38" s="1183" t="s">
        <v>59</v>
      </c>
      <c r="BZ38" s="1183" t="s">
        <v>57</v>
      </c>
      <c r="CA38" s="1183" t="s">
        <v>112</v>
      </c>
      <c r="CB38" s="1388"/>
      <c r="CC38" s="44"/>
      <c r="CD38" s="94"/>
      <c r="CE38" s="94"/>
      <c r="CF38" s="44"/>
      <c r="CG38" s="44"/>
      <c r="CJ38" s="48"/>
      <c r="CQ38" s="8"/>
      <c r="CR38" s="8"/>
      <c r="CU38" s="1019"/>
      <c r="CV38" s="1019"/>
      <c r="CW38" s="1019"/>
      <c r="CX38" s="1019"/>
      <c r="CY38" s="1019"/>
      <c r="CZ38" s="1019"/>
      <c r="DA38" s="1019"/>
      <c r="DB38" s="1019"/>
      <c r="DC38" s="1019"/>
      <c r="DD38" s="1019"/>
      <c r="DE38" s="1019"/>
      <c r="DF38" s="1019"/>
      <c r="DG38" s="1019"/>
      <c r="DH38" s="1019"/>
      <c r="DI38" s="1019"/>
      <c r="DJ38" s="1019"/>
      <c r="DK38" s="1019"/>
      <c r="DL38" s="1019"/>
      <c r="DM38" s="1019"/>
      <c r="DN38" s="1019"/>
      <c r="DO38" s="1019"/>
      <c r="DP38" s="1019"/>
    </row>
    <row r="39" spans="1:120" s="7" customFormat="1" ht="21" customHeight="1" thickBot="1">
      <c r="A39" s="75"/>
      <c r="B39" s="1079"/>
      <c r="C39" s="775"/>
      <c r="D39" s="901"/>
      <c r="E39" s="30"/>
      <c r="F39" s="30"/>
      <c r="G39" s="30"/>
      <c r="H39" s="30"/>
      <c r="I39" s="30"/>
      <c r="J39" s="30"/>
      <c r="K39" s="1030"/>
      <c r="L39" s="30"/>
      <c r="M39" s="1575"/>
      <c r="N39" s="51"/>
      <c r="O39" s="1030"/>
      <c r="P39" s="30"/>
      <c r="Q39" s="1575"/>
      <c r="R39" s="1031"/>
      <c r="S39" s="1036"/>
      <c r="T39" s="1146"/>
      <c r="U39" s="1036"/>
      <c r="V39" s="1368"/>
      <c r="W39" s="1135" t="s">
        <v>565</v>
      </c>
      <c r="X39" s="8" t="s">
        <v>564</v>
      </c>
      <c r="Y39" s="8" t="s">
        <v>566</v>
      </c>
      <c r="AB39" s="1316" t="s">
        <v>216</v>
      </c>
      <c r="AD39" s="1316" t="s">
        <v>216</v>
      </c>
      <c r="AE39" s="1369"/>
      <c r="AF39" s="1289"/>
      <c r="AG39" s="105"/>
      <c r="AH39" s="1142"/>
      <c r="AI39" s="1036"/>
      <c r="AJ39" s="1035"/>
      <c r="AL39" s="51"/>
      <c r="AM39" s="51"/>
      <c r="AN39" s="1091"/>
      <c r="AO39" s="1105"/>
      <c r="AQ39" s="1091"/>
      <c r="AR39" s="1105"/>
      <c r="AS39" s="1167"/>
      <c r="AT39" s="75"/>
      <c r="AU39" s="1178"/>
      <c r="AV39" s="44"/>
      <c r="AW39" s="44"/>
      <c r="AX39" s="44"/>
      <c r="AY39" s="44"/>
      <c r="AZ39" s="44"/>
      <c r="BA39" s="44"/>
      <c r="BB39" s="1392"/>
      <c r="BC39" s="44"/>
      <c r="BD39" s="44"/>
      <c r="BE39" s="44"/>
      <c r="BF39" s="44"/>
      <c r="BG39" s="44"/>
      <c r="BH39" s="44"/>
      <c r="BI39" s="44"/>
      <c r="BJ39" s="44"/>
      <c r="BK39" s="44"/>
      <c r="BL39" s="44"/>
      <c r="BM39" s="1242"/>
      <c r="BN39" s="44"/>
      <c r="BO39" s="44"/>
      <c r="BP39" s="44"/>
      <c r="BQ39" s="44"/>
      <c r="BR39" s="44"/>
      <c r="BS39" s="44"/>
      <c r="BT39" s="44"/>
      <c r="BU39" s="1385"/>
      <c r="BV39" s="44"/>
      <c r="BW39" s="1395"/>
      <c r="BX39" s="44"/>
      <c r="BY39" s="44"/>
      <c r="BZ39" s="44"/>
      <c r="CA39" s="44"/>
      <c r="CB39" s="1388"/>
      <c r="CC39" s="44"/>
      <c r="CD39" s="94"/>
      <c r="CE39" s="94"/>
      <c r="CF39" s="44"/>
      <c r="CG39" s="44"/>
      <c r="CJ39" s="48"/>
      <c r="CQ39" s="8"/>
      <c r="CR39" s="8"/>
      <c r="CU39" s="1019"/>
      <c r="CV39" s="1019"/>
      <c r="CW39" s="1019"/>
      <c r="CX39" s="1019"/>
      <c r="CY39" s="1019"/>
      <c r="CZ39" s="1019"/>
      <c r="DA39" s="1019"/>
      <c r="DB39" s="1019"/>
      <c r="DC39" s="1019"/>
      <c r="DD39" s="1019"/>
      <c r="DE39" s="1019"/>
      <c r="DF39" s="1019"/>
      <c r="DG39" s="1019"/>
      <c r="DH39" s="1019"/>
      <c r="DI39" s="1019"/>
      <c r="DJ39" s="1019"/>
      <c r="DK39" s="1019"/>
      <c r="DL39" s="1019"/>
      <c r="DM39" s="1019"/>
      <c r="DN39" s="1019"/>
      <c r="DO39" s="1019"/>
      <c r="DP39" s="1019"/>
    </row>
    <row r="40" spans="1:120" s="7" customFormat="1" ht="15" customHeight="1" thickTop="1">
      <c r="A40" s="75"/>
      <c r="B40" s="1661"/>
      <c r="C40" s="1763" t="s">
        <v>108</v>
      </c>
      <c r="D40" s="1294"/>
      <c r="E40" s="1765" t="str">
        <f>IF(E15="","",E15)</f>
        <v/>
      </c>
      <c r="F40" s="1766"/>
      <c r="G40" s="1295"/>
      <c r="H40" s="1665"/>
      <c r="I40" s="1666"/>
      <c r="J40" s="1677">
        <f>AW40</f>
        <v>0</v>
      </c>
      <c r="K40" s="1673" t="str">
        <f>IF(O20="",O17,O20)</f>
        <v/>
      </c>
      <c r="L40" s="882" t="str">
        <f>IF(OR(C40="",E40="",H40=""),"",K40)</f>
        <v/>
      </c>
      <c r="M40" s="1669" t="str">
        <f>IF(AX40=0,"",AX40)</f>
        <v/>
      </c>
      <c r="N40" s="51"/>
      <c r="O40" s="1831"/>
      <c r="P40" s="882" t="str">
        <f>IF(OR(C40="",E40="",H40=""),"",O40)</f>
        <v/>
      </c>
      <c r="Q40" s="1669" t="str">
        <f>IF(AX41=0,"",AX41)</f>
        <v/>
      </c>
      <c r="R40" s="1034"/>
      <c r="S40" s="1036"/>
      <c r="T40" s="1146"/>
      <c r="U40" s="1036"/>
      <c r="V40" s="1368"/>
      <c r="W40" s="1696" t="s">
        <v>120</v>
      </c>
      <c r="X40" s="1692" t="str">
        <f>IF(Y12="NO","",CS5)</f>
        <v/>
      </c>
      <c r="Y40" s="1817" t="str">
        <f>IF(Y12="NO","",CU5)</f>
        <v/>
      </c>
      <c r="AA40" s="1847" t="str">
        <f>IF($AX$72&gt;0,AX72,"")</f>
        <v/>
      </c>
      <c r="AB40" s="1849" t="str">
        <f>IF(AND($AX$72&gt;0,Y12="Yes"),IF(AA40="","",$AA$40-$X$40),"")</f>
        <v/>
      </c>
      <c r="AC40" s="1850" t="str">
        <f>IF(AND($Q$34="YES",$O$71&gt;0),$AX$73,"")</f>
        <v/>
      </c>
      <c r="AD40" s="1852" t="str">
        <f>IF(AND(Q34="YES",O72&gt;0,Y12="Yes",AC40&gt;0),$AC$40-$Y$40,"")</f>
        <v/>
      </c>
      <c r="AE40" s="1369"/>
      <c r="AF40" s="1289"/>
      <c r="AG40" s="105"/>
      <c r="AH40" s="1142"/>
      <c r="AI40" s="1036"/>
      <c r="AJ40" s="1035"/>
      <c r="AK40" s="1100" t="str">
        <f>IF(OR(AN33="NO",X40=""),"","i")</f>
        <v/>
      </c>
      <c r="AL40" s="1033"/>
      <c r="AM40" s="1033"/>
      <c r="AN40" s="1035"/>
      <c r="AO40" s="1034"/>
      <c r="AP40" s="1033"/>
      <c r="AQ40" s="1035"/>
      <c r="AR40" s="1105"/>
      <c r="AS40" s="1167"/>
      <c r="AT40" s="75"/>
      <c r="AU40" s="1683" t="str">
        <f>IF(C40="","",C40)</f>
        <v>PASTURE</v>
      </c>
      <c r="AV40" s="1187" t="str">
        <f>IF(L40="","",1)</f>
        <v/>
      </c>
      <c r="AW40" s="1593">
        <f>IF(OR($E40="",$H40="",$K40=0),0,VLOOKUP($H40,'Data source'!$B$121:$C$124,2,FALSE))</f>
        <v>0</v>
      </c>
      <c r="AX40" s="434">
        <f>IF(OR($E40="",$H40="",$K40=0,$K40=""),0,K40*AW40)</f>
        <v>0</v>
      </c>
      <c r="AY40" s="1376" t="str">
        <f>IF(OR($E40="",$H40="",$K40=0),"",$I$17)</f>
        <v/>
      </c>
      <c r="AZ40" s="1377" t="str">
        <f>IF(OR($E40="",$H40="",$K40=0),"",VLOOKUP($E40,'Data source'!$B$4:$I$12,2,FALSE))</f>
        <v/>
      </c>
      <c r="BA40" s="1378" t="str">
        <f>IF(OR($E40="",$H40="",$K40=0),"",AX40*AY40)</f>
        <v/>
      </c>
      <c r="BB40" s="1392"/>
      <c r="BC40" s="1380" t="str">
        <f>IF(OR($E40="",$H40="-",$K40=0),"",VLOOKUP($E40,'Data source'!$B$4:$I$12,4,FALSE))</f>
        <v/>
      </c>
      <c r="BD40" s="1377" t="str">
        <f>IF(OR($E40="",$H40="",$K40=0),"",(($AX40/$AX$72)*BC40))</f>
        <v/>
      </c>
      <c r="BE40" s="1377" t="str">
        <f>IF(OR($E40="",$H40="",$K40=0),"",VLOOKUP($E40,'Data source'!$B$4:$I$12,5,FALSE))</f>
        <v/>
      </c>
      <c r="BF40" s="1377" t="str">
        <f>IF(OR($E40="",$H40="",$K40=0),"",(($AX40/$AX$72)*BE40))</f>
        <v/>
      </c>
      <c r="BG40" s="1377" t="str">
        <f>IF(OR($E40="",$H40="",$K40=0),"",VLOOKUP($E40,'Data source'!$B$4:$I$12,6,FALSE))</f>
        <v/>
      </c>
      <c r="BH40" s="1377" t="str">
        <f>IF(OR($E40="",$H40="",$K40=0),"",(($AX40/$AX$72)*BG40))</f>
        <v/>
      </c>
      <c r="BI40" s="1377" t="str">
        <f>IF(OR($E40="",$H40="",$K40=0),"",VLOOKUP($E40,'Data source'!$B$4:$I$12,7,FALSE))</f>
        <v/>
      </c>
      <c r="BJ40" s="1377" t="str">
        <f>IF(OR($E40="",$H40="",$K40=0),"",(BI40/100*BH40)*($AX40/$AX$72))</f>
        <v/>
      </c>
      <c r="BK40" s="1377" t="str">
        <f>IF(OR($E40="",$H40="",$K40=0),"",VLOOKUP($E40,'Data source'!$B$4:$I$12,8,FALSE))</f>
        <v/>
      </c>
      <c r="BL40" s="1381" t="str">
        <f>IF(OR($E40="",$H40="",$K40=0),"",(($AX40/$AX$72)*BK40))</f>
        <v/>
      </c>
      <c r="BM40" s="1242"/>
      <c r="BN40" s="1380">
        <f>IF(OR($E40="",$H40="",$K40=0),0,VLOOKUP($E40,'Data source'!$B$3:$T$14,13,FALSE))</f>
        <v>0</v>
      </c>
      <c r="BO40" s="1377">
        <f>IF(OR($E40="",$H40="",$K40=0),0,VLOOKUP($E40,'Data source'!$B$3:$T$14,14,FALSE))</f>
        <v>0</v>
      </c>
      <c r="BP40" s="1377">
        <f>IF(OR($E40="",$H40="",$K40=0),0,VLOOKUP($E40,'Data source'!$B$3:$T$14,15,FALSE))</f>
        <v>0</v>
      </c>
      <c r="BQ40" s="1377">
        <f>IF(OR($E40="",$H40="",$K40=0),0,VLOOKUP($E40,'Data source'!$B$3:$T$14,16,FALSE))</f>
        <v>0</v>
      </c>
      <c r="BR40" s="1377">
        <f>IF(OR($E40="",$H40="",$K40=0),0,VLOOKUP($E40,'Data source'!$B$3:$T$14,17,FALSE))</f>
        <v>0</v>
      </c>
      <c r="BS40" s="1377">
        <f>IF(OR($E40="",$H40="",$K40=0),0,VLOOKUP($E40,'Data source'!$B$3:$T$14,18,FALSE))</f>
        <v>0</v>
      </c>
      <c r="BT40" s="1381">
        <f>IF(OR($E40="",$H40="",$K40=0),0,VLOOKUP($E40,'Data source'!$B$3:$T$14,19,FALSE))</f>
        <v>0</v>
      </c>
      <c r="BU40" s="1385"/>
      <c r="BV40" s="1405">
        <f>IF(OR($E40="",$H40="",$K40=""),0,(((43.498*$BN40)+(25.574*$BO40))-((28.206*$BP40)+(62.375*$BQ40)))*$AX40*10/1000)</f>
        <v>0</v>
      </c>
      <c r="BW40" s="1242"/>
      <c r="BX40" s="1380"/>
      <c r="BY40" s="1377"/>
      <c r="BZ40" s="1377"/>
      <c r="CA40" s="1406"/>
      <c r="CB40" s="1388"/>
      <c r="CC40" s="44"/>
      <c r="CD40" s="94"/>
      <c r="CE40" s="94"/>
      <c r="CF40" s="44"/>
      <c r="CG40" s="44"/>
      <c r="CJ40" s="645"/>
      <c r="CK40" s="645"/>
      <c r="CL40" s="645"/>
      <c r="CQ40" s="8"/>
      <c r="CR40" s="8"/>
      <c r="CU40" s="1019"/>
      <c r="CV40" s="1019"/>
      <c r="CW40" s="1019"/>
      <c r="CX40" s="1019"/>
      <c r="CY40" s="1019"/>
      <c r="CZ40" s="1019"/>
      <c r="DA40" s="1019"/>
      <c r="DB40" s="1019"/>
      <c r="DC40" s="1019"/>
      <c r="DD40" s="1019"/>
      <c r="DE40" s="1019"/>
      <c r="DF40" s="1019"/>
      <c r="DG40" s="1019"/>
      <c r="DH40" s="1019"/>
      <c r="DI40" s="1019"/>
      <c r="DJ40" s="1019"/>
      <c r="DK40" s="1019"/>
      <c r="DL40" s="1019"/>
      <c r="DM40" s="1019"/>
      <c r="DN40" s="1019"/>
      <c r="DO40" s="1019"/>
      <c r="DP40" s="1019"/>
    </row>
    <row r="41" spans="1:120" s="7" customFormat="1" ht="15" customHeight="1" thickBot="1">
      <c r="A41" s="75"/>
      <c r="B41" s="1661"/>
      <c r="C41" s="1764"/>
      <c r="D41" s="1294"/>
      <c r="E41" s="1767"/>
      <c r="F41" s="1768"/>
      <c r="G41" s="1296"/>
      <c r="H41" s="1667"/>
      <c r="I41" s="1668"/>
      <c r="J41" s="1678"/>
      <c r="K41" s="1674"/>
      <c r="L41" s="1132"/>
      <c r="M41" s="1670"/>
      <c r="N41" s="51"/>
      <c r="O41" s="1832"/>
      <c r="P41" s="1268"/>
      <c r="Q41" s="1670"/>
      <c r="R41" s="1034"/>
      <c r="S41" s="1036"/>
      <c r="T41" s="1146"/>
      <c r="U41" s="1036"/>
      <c r="V41" s="1368"/>
      <c r="W41" s="1697"/>
      <c r="X41" s="1693"/>
      <c r="Y41" s="1818"/>
      <c r="AA41" s="1848"/>
      <c r="AB41" s="1849"/>
      <c r="AC41" s="1851"/>
      <c r="AD41" s="1852"/>
      <c r="AE41" s="1369"/>
      <c r="AF41" s="1289"/>
      <c r="AG41" s="105"/>
      <c r="AH41" s="1142"/>
      <c r="AI41" s="1036"/>
      <c r="AJ41" s="1035"/>
      <c r="AL41" s="1033"/>
      <c r="AM41" s="1033"/>
      <c r="AN41" s="1035"/>
      <c r="AO41" s="1034"/>
      <c r="AP41" s="1033"/>
      <c r="AQ41" s="1035"/>
      <c r="AR41" s="1105"/>
      <c r="AS41" s="1167"/>
      <c r="AT41" s="75"/>
      <c r="AU41" s="1684"/>
      <c r="AV41" s="1188" t="str">
        <f>IF(OR(P40="",$Q$34="NO"),"",2)</f>
        <v/>
      </c>
      <c r="AW41" s="239" t="str">
        <f>IF(OR($E40="",$H40="",$O40&lt;=0,$Q$34="NO"),"",VLOOKUP($H40,'Data source'!$B$121:$C$124,2,FALSE))</f>
        <v/>
      </c>
      <c r="AX41" s="237">
        <f>IF(OR($E40="",$H40="",$O40&lt;=0,$Q$34="NO"),0,$O40*$AW41)</f>
        <v>0</v>
      </c>
      <c r="AY41" s="574" t="str">
        <f>IF(OR($E40="",$H40="",$O40&lt;=0,$Q$34="NO"),"",$I$17)</f>
        <v/>
      </c>
      <c r="AZ41" s="237" t="str">
        <f>IF(OR($E40="",$H40="",$O40&lt;=0,$Q$34="NO"),"",VLOOKUP($E$40,'Data source'!$B$4:$I$12,2,FALSE))</f>
        <v/>
      </c>
      <c r="BA41" s="238" t="str">
        <f>IF(OR($E40="",$H40="",$O40&lt;=0,$Q$34="NO"),"",$AX41*$AY41)</f>
        <v/>
      </c>
      <c r="BB41" s="1392"/>
      <c r="BC41" s="240" t="str">
        <f>IF(OR($E40="",$H40="",$O40&lt;=0,$Q$34="NO"),"",VLOOKUP($E$40,'Data source'!$B$4:$I$12,4,FALSE))</f>
        <v/>
      </c>
      <c r="BD41" s="237" t="str">
        <f>IF(OR($E40="",$H40="",$O40&lt;=0,$Q$34="NO"),"",(($AX41/$AX$73)*$BC41))</f>
        <v/>
      </c>
      <c r="BE41" s="237" t="str">
        <f>IF(OR($E40="",$H40="",$O40&lt;=0,$Q$34="NO"),"",VLOOKUP($E$40,'Data source'!$B$4:$I$12,5,FALSE))</f>
        <v/>
      </c>
      <c r="BF41" s="237" t="str">
        <f>IF(OR($E40="",$H40="",$O40&lt;=0,$Q$34="NO"),"",(($AX41/$AX$73)*BE41))</f>
        <v/>
      </c>
      <c r="BG41" s="237" t="str">
        <f>IF(OR($E40="",$H40="",$O40&lt;=0,$Q$34="NO"),"",VLOOKUP($E$40,'Data source'!$B$4:$I$12,6,FALSE))</f>
        <v/>
      </c>
      <c r="BH41" s="237" t="str">
        <f>IF(OR($E40="",$H40="",$O40&lt;=0,$Q$34="NO"),"",(($AX41/$AX$73)*BG41))</f>
        <v/>
      </c>
      <c r="BI41" s="237" t="str">
        <f>IF(OR($E40="",$H40="",$O40&lt;=0,$Q$34="NO"),"",VLOOKUP($E$40,'Data source'!$B$4:$I$12,7,FALSE))</f>
        <v/>
      </c>
      <c r="BJ41" s="237" t="str">
        <f>IF(OR($E40="",$H40="",$O40&lt;=0,$Q$34="NO"),"",(BI41/100*BH41)*($AX41/$AX$73))</f>
        <v/>
      </c>
      <c r="BK41" s="237" t="str">
        <f>IF(OR($E40="",$H40="",$O40&lt;=0,$Q$34="NO"),"",VLOOKUP($E$40,'Data source'!$B$4:$I$12,8,FALSE))</f>
        <v/>
      </c>
      <c r="BL41" s="241" t="str">
        <f>IF(OR($E40="",$H40="",$O40&lt;=0,$Q$34="NO"),"",(($AX41/$AX$73)*BK41))</f>
        <v/>
      </c>
      <c r="BM41" s="1242"/>
      <c r="BN41" s="240">
        <f>IF(OR($E40="",$H40="",$O40&lt;=0,$Q$34="NO"),0,VLOOKUP($E40,'Data source'!$B$3:$T$14,13,FALSE))</f>
        <v>0</v>
      </c>
      <c r="BO41" s="237">
        <f>IF(OR($E40="",$H40="",$O40&lt;=0,$Q$34="NO"),0,VLOOKUP($E40,'Data source'!$B$3:$T$14,14,FALSE))</f>
        <v>0</v>
      </c>
      <c r="BP41" s="237">
        <f>IF(OR($E40="",$H40="",$O40&lt;=0,$Q$34="NO"),0,VLOOKUP($E40,'Data source'!$B$3:$T$14,15,FALSE))</f>
        <v>0</v>
      </c>
      <c r="BQ41" s="237">
        <f>IF(OR($E40="",$H40="",$O40&lt;=0,$Q$34="NO"),0,VLOOKUP($E40,'Data source'!$B$3:$T$14,16,FALSE))</f>
        <v>0</v>
      </c>
      <c r="BR41" s="237">
        <f>IF(OR($E40="",$H40="",$O40&lt;=0,$Q$34="NO"),0,VLOOKUP($E40,'Data source'!$B$3:$T$14,17,FALSE))</f>
        <v>0</v>
      </c>
      <c r="BS41" s="237">
        <f>IF(OR($E40="",$H40="",$O40&lt;=0,$Q$34="NO"),0,VLOOKUP($E40,'Data source'!$B$3:$T$14,18,FALSE))</f>
        <v>0</v>
      </c>
      <c r="BT41" s="241">
        <f>IF(OR($E40="",$H40="",$O40&lt;=0,$Q$34="NO"),0,VLOOKUP($E40,'Data source'!$B$3:$T$14,19,FALSE))</f>
        <v>0</v>
      </c>
      <c r="BU41" s="1385"/>
      <c r="BV41" s="982">
        <f>IF(OR($E40="",$H40="",$O40&lt;=0,$Q$34="NO"),0,((43.498*$BN41)+(25.574*$BO41))-((28.206*$BP41)+(62.375*$BQ41)))*$AX41*10/1000</f>
        <v>0</v>
      </c>
      <c r="BW41" s="1242"/>
      <c r="BX41" s="240"/>
      <c r="BY41" s="237"/>
      <c r="BZ41" s="237"/>
      <c r="CA41" s="1000"/>
      <c r="CB41" s="1388"/>
      <c r="CC41" s="44"/>
      <c r="CD41" s="94"/>
      <c r="CE41" s="94"/>
      <c r="CF41" s="44"/>
      <c r="CG41" s="44"/>
      <c r="CJ41" s="645"/>
      <c r="CK41" s="645"/>
      <c r="CL41" s="645"/>
      <c r="CQ41" s="8"/>
      <c r="CR41" s="8"/>
      <c r="CU41" s="1019"/>
      <c r="CV41" s="1019"/>
      <c r="CW41" s="1019"/>
      <c r="CX41" s="1019"/>
      <c r="CY41" s="1019"/>
      <c r="CZ41" s="1019"/>
      <c r="DA41" s="1019"/>
      <c r="DB41" s="1019"/>
      <c r="DC41" s="1019"/>
      <c r="DD41" s="1019"/>
      <c r="DE41" s="1019"/>
      <c r="DF41" s="1019"/>
      <c r="DG41" s="1019"/>
      <c r="DH41" s="1019"/>
      <c r="DI41" s="1019"/>
      <c r="DJ41" s="1019"/>
      <c r="DK41" s="1019"/>
      <c r="DL41" s="1019"/>
      <c r="DM41" s="1019"/>
      <c r="DN41" s="1019"/>
      <c r="DO41" s="1019"/>
      <c r="DP41" s="1019"/>
    </row>
    <row r="42" spans="1:120" s="7" customFormat="1" ht="9" customHeight="1" thickTop="1" thickBot="1">
      <c r="A42" s="75"/>
      <c r="B42" s="1079"/>
      <c r="C42" s="1297"/>
      <c r="D42" s="1298"/>
      <c r="E42" s="1298"/>
      <c r="F42" s="1298"/>
      <c r="G42" s="1299"/>
      <c r="H42" s="1300"/>
      <c r="I42" s="1300"/>
      <c r="J42" s="976"/>
      <c r="K42" s="1157"/>
      <c r="L42" s="1223"/>
      <c r="M42" s="1576"/>
      <c r="N42" s="51"/>
      <c r="O42" s="1162"/>
      <c r="P42" s="1269"/>
      <c r="Q42" s="1576"/>
      <c r="R42" s="1032"/>
      <c r="S42" s="1036"/>
      <c r="T42" s="1146"/>
      <c r="U42" s="1036"/>
      <c r="V42" s="1368"/>
      <c r="W42" s="1490" t="s">
        <v>587</v>
      </c>
      <c r="AA42" s="1491" t="str">
        <f>IF(OR($Y$12="NO",$CS$4=""),"",$CS$4)</f>
        <v/>
      </c>
      <c r="AC42" s="1492" t="str">
        <f>IF(OR($Q$34="NO",$Y$12="NO",$CU$4=""),"",$CU$4)</f>
        <v/>
      </c>
      <c r="AE42" s="1369"/>
      <c r="AF42" s="1289"/>
      <c r="AG42" s="105"/>
      <c r="AH42" s="1142"/>
      <c r="AI42" s="1036"/>
      <c r="AJ42" s="1035"/>
      <c r="AK42" s="1090"/>
      <c r="AL42" s="998"/>
      <c r="AM42" s="998"/>
      <c r="AN42" s="1035"/>
      <c r="AO42" s="1106"/>
      <c r="AP42" s="998"/>
      <c r="AQ42" s="1035"/>
      <c r="AR42" s="1105"/>
      <c r="AS42" s="1167"/>
      <c r="AT42" s="75"/>
      <c r="AU42" s="1382"/>
      <c r="AV42" s="1383"/>
      <c r="AW42" s="1384"/>
      <c r="AX42" s="1238"/>
      <c r="AY42" s="1594">
        <v>3</v>
      </c>
      <c r="AZ42" s="1595">
        <v>2</v>
      </c>
      <c r="BA42" s="1594"/>
      <c r="BB42" s="1596"/>
      <c r="BC42" s="1597">
        <v>4</v>
      </c>
      <c r="BD42" s="1598"/>
      <c r="BE42" s="1597">
        <v>5</v>
      </c>
      <c r="BF42" s="1599"/>
      <c r="BG42" s="1597">
        <v>6</v>
      </c>
      <c r="BH42" s="1599"/>
      <c r="BI42" s="1597">
        <v>7</v>
      </c>
      <c r="BJ42" s="1599"/>
      <c r="BK42" s="1597">
        <v>8</v>
      </c>
      <c r="BL42" s="1599"/>
      <c r="BM42" s="1597"/>
      <c r="BN42" s="1600">
        <v>13</v>
      </c>
      <c r="BO42" s="1600">
        <v>14</v>
      </c>
      <c r="BP42" s="1600">
        <v>15</v>
      </c>
      <c r="BQ42" s="1600">
        <v>16</v>
      </c>
      <c r="BR42" s="1600">
        <v>17</v>
      </c>
      <c r="BS42" s="1600">
        <v>18</v>
      </c>
      <c r="BT42" s="1600">
        <v>19</v>
      </c>
      <c r="BU42" s="1385"/>
      <c r="BV42" s="1386"/>
      <c r="BW42" s="1242"/>
      <c r="BX42" s="1385"/>
      <c r="BY42" s="1385"/>
      <c r="BZ42" s="1385"/>
      <c r="CA42" s="1387"/>
      <c r="CB42" s="1388"/>
      <c r="CC42" s="44"/>
      <c r="CD42" s="94"/>
      <c r="CE42" s="94"/>
      <c r="CF42" s="44"/>
      <c r="CG42" s="44"/>
      <c r="CJ42" s="645"/>
      <c r="CK42" s="645"/>
      <c r="CL42" s="645"/>
      <c r="CM42" s="8"/>
      <c r="CN42" s="8"/>
      <c r="CQ42" s="8"/>
      <c r="CR42" s="8"/>
      <c r="CU42" s="1023"/>
      <c r="CV42" s="1019"/>
      <c r="CW42" s="1019"/>
      <c r="CX42" s="1019"/>
      <c r="CY42" s="1019"/>
      <c r="CZ42" s="1019"/>
      <c r="DA42" s="1019"/>
      <c r="DB42" s="1019"/>
      <c r="DC42" s="1019"/>
      <c r="DD42" s="1019"/>
      <c r="DE42" s="1019"/>
      <c r="DF42" s="1019"/>
      <c r="DG42" s="1019"/>
      <c r="DH42" s="1019"/>
      <c r="DI42" s="1019"/>
      <c r="DJ42" s="1019"/>
      <c r="DK42" s="1019"/>
      <c r="DL42" s="1019"/>
      <c r="DM42" s="1019"/>
      <c r="DN42" s="1019"/>
      <c r="DO42" s="1019"/>
      <c r="DP42" s="1019"/>
    </row>
    <row r="43" spans="1:120" s="7" customFormat="1" ht="15" customHeight="1" thickTop="1">
      <c r="A43" s="75"/>
      <c r="B43" s="1662"/>
      <c r="C43" s="1663"/>
      <c r="D43" s="1813" t="str">
        <f>IF(C43="Minerals","i","")</f>
        <v/>
      </c>
      <c r="E43" s="1665"/>
      <c r="F43" s="1666"/>
      <c r="H43" s="1665"/>
      <c r="I43" s="1666"/>
      <c r="J43" s="1675" t="str">
        <f>IF(OR($C43="",$E43="",$H43=""),"",VLOOKUP($H43,'Data source'!$B$128:$C$188,2,FALSE))</f>
        <v/>
      </c>
      <c r="K43" s="1671"/>
      <c r="L43" s="882" t="str">
        <f>IF(OR(C43="",E43="",H43=""),"",K43)</f>
        <v/>
      </c>
      <c r="M43" s="1669" t="str">
        <f>IF(AX43=0,"",AX43)</f>
        <v/>
      </c>
      <c r="N43" s="882" t="str">
        <f>IF(OR(C43="",E43="",H43=""),"",AN43)</f>
        <v/>
      </c>
      <c r="O43" s="1681"/>
      <c r="P43" s="882" t="str">
        <f>IF(OR(C43="",E43="",H43=""),"",O43)</f>
        <v/>
      </c>
      <c r="Q43" s="1669" t="str">
        <f>IF(AX44=0,"",AX44)</f>
        <v/>
      </c>
      <c r="R43" s="1486" t="str">
        <f>IF(OR(N44="&gt;3",R44="&gt;3"),"i","")</f>
        <v/>
      </c>
      <c r="S43" s="1036"/>
      <c r="T43" s="1146"/>
      <c r="U43" s="1036"/>
      <c r="V43" s="1368"/>
      <c r="W43" s="1696" t="s">
        <v>154</v>
      </c>
      <c r="X43" s="1694" t="str">
        <f>IF(Y12="No","",AD11)</f>
        <v/>
      </c>
      <c r="Y43" s="1694" t="str">
        <f>IF(Y12="No","",AE11)</f>
        <v/>
      </c>
      <c r="AA43" s="1753" t="str">
        <f>IF($AX$72&gt;0,BA72,"")</f>
        <v/>
      </c>
      <c r="AB43" s="1806" t="str">
        <f>IF(AND($K$71&gt;0,Y12="Yes"),$AA$43-$X$43,"")</f>
        <v/>
      </c>
      <c r="AC43" s="1808" t="str">
        <f>IF(AND($Q$34="YES",$O$71&gt;0),$BA$73,"")</f>
        <v/>
      </c>
      <c r="AD43" s="1807" t="str">
        <f>IF(AND(Q34="YES",O71&gt;0,Y12="Yes",AC43&gt;0),$AC$43-$Y$43,"")</f>
        <v/>
      </c>
      <c r="AE43" s="1369"/>
      <c r="AF43" s="1286" t="str">
        <f>IF($C43="Hay_Silage","FT1_",IF($C43="Concentrates","FT2_",IF($C43="By_products","FT3_",IF($C43="Fodder_beet_Default","FT4_",IF($C43="Other_Crops_Default","FT5_",IF($C43="Minerals","FT6_",IF($C43="Custom_Feeds_Minerals","FT7_",IF($C43="Custom_Bulb_Crops","FT8_","-"))))))))</f>
        <v>-</v>
      </c>
      <c r="AG43" s="105"/>
      <c r="AH43" s="1142"/>
      <c r="AI43" s="1036"/>
      <c r="AJ43" s="1035"/>
      <c r="AK43" s="1706">
        <v>400</v>
      </c>
      <c r="AL43" s="1704" t="str">
        <f>IF(OR($E43="",$H43=""),"",IF(AY43="",IF(AY44&gt;0,BZ44,0),BZ43))</f>
        <v/>
      </c>
      <c r="AM43" s="1098"/>
      <c r="AN43" s="1702" t="str">
        <f>IF(OR($E43="",$H43="",$K43="",$O$6=""),"",($K43/1000)*$O$6)</f>
        <v/>
      </c>
      <c r="AO43" s="1700" t="str">
        <f>CA43</f>
        <v/>
      </c>
      <c r="AP43" s="1098"/>
      <c r="AQ43" s="1702" t="str">
        <f>IF(OR($E43="",$H43="",$O43="",$O$6=""),"",($O43/1000)*$O$6)</f>
        <v/>
      </c>
      <c r="AR43" s="1700" t="str">
        <f>CA44</f>
        <v/>
      </c>
      <c r="AS43" s="1167"/>
      <c r="AT43" s="75"/>
      <c r="AU43" s="1683" t="str">
        <f>IF(E43="","",E43)</f>
        <v/>
      </c>
      <c r="AV43" s="1187" t="str">
        <f>IF(L43="","",1)</f>
        <v/>
      </c>
      <c r="AW43" s="1379" t="str">
        <f>IF(OR($E43="",$H43="",$K43&lt;=0),"",VLOOKUP($H43,'Data source'!$B$128:$C$188,2,FALSE))</f>
        <v/>
      </c>
      <c r="AX43" s="434">
        <f>IF(OR($E43="",$H43="",$K43&lt;=0),0,K43*AW43)</f>
        <v>0</v>
      </c>
      <c r="AY43" s="1380" t="str">
        <f>IF(OR($E43="",$H43="-",$K43=0),"",VLOOKUP($E43,'Data source'!$B$4:$I$111,3,FALSE))</f>
        <v/>
      </c>
      <c r="AZ43" s="1380" t="str">
        <f>IF(OR($E43="",$H43="-",$K43=0),"",VLOOKUP($E43,'Data source'!$B$4:$I$111,2,FALSE))</f>
        <v/>
      </c>
      <c r="BA43" s="1378" t="str">
        <f>IF(OR($E43="",$H43="",$K43&lt;=0),"",AX43*AY43)</f>
        <v/>
      </c>
      <c r="BB43" s="1392"/>
      <c r="BC43" s="1380" t="str">
        <f>IF(OR($E43="",$H43="-",$K43=0),"",VLOOKUP($E43,'Data source'!$B$4:$I$111,4,FALSE))</f>
        <v/>
      </c>
      <c r="BD43" s="1377" t="str">
        <f>IF(OR($E43="",$H43="",$K43&lt;=0),"",(($AX43/$AX$72)*BC43))</f>
        <v/>
      </c>
      <c r="BE43" s="1380" t="str">
        <f>IF(OR($E43="",$H43="-",$K43=0),"",VLOOKUP($E43,'Data source'!$B$4:$I$111,5,FALSE))</f>
        <v/>
      </c>
      <c r="BF43" s="1377" t="str">
        <f>IF(OR($E43="",$H43="",$K43&lt;=0),"",(($AX43/$AX$72)*BE43))</f>
        <v/>
      </c>
      <c r="BG43" s="1380" t="str">
        <f>IF(OR($E43="",$H43="-",$K43=0),"",VLOOKUP($E43,'Data source'!$B$4:$I$111,6,FALSE))</f>
        <v/>
      </c>
      <c r="BH43" s="1377" t="str">
        <f>IF(OR($E43="",$H43="",$K43&lt;=0),"",(($AX43/$AX$72)*BG43))</f>
        <v/>
      </c>
      <c r="BI43" s="1380" t="str">
        <f>IF(OR($E43="",$H43="-",$K43=0),"",VLOOKUP($E43,'Data source'!$B$4:$I$111,7,FALSE))</f>
        <v/>
      </c>
      <c r="BJ43" s="1377" t="str">
        <f>IF(OR($E43="",$H43="",$K43&lt;=0),"",(BI43/100*BH43)*($AX43/$AX$72))</f>
        <v/>
      </c>
      <c r="BK43" s="1380" t="str">
        <f>IF(OR($E43="",$H43="-",$K43=0),"",VLOOKUP($E43,'Data source'!$B$4:$I$111,8,FALSE))</f>
        <v/>
      </c>
      <c r="BL43" s="1381" t="str">
        <f>IF(OR($E43="",$H43="",$K43&lt;=0),"",(($AX43/$AX$72)*BK43))</f>
        <v/>
      </c>
      <c r="BM43" s="1242"/>
      <c r="BN43" s="1380">
        <f>IF(OR($E43="",$H43="",$K43=0),0,VLOOKUP($E43,'Data source'!$B$4:$T$111,13,FALSE))</f>
        <v>0</v>
      </c>
      <c r="BO43" s="1380">
        <f>IF(OR($E43="",$H43="",$K43=0),0,VLOOKUP($E43,'Data source'!$B$4:$T$111,14,FALSE))</f>
        <v>0</v>
      </c>
      <c r="BP43" s="1380">
        <f>IF(OR($E43="",$H43="",$K43=0),0,VLOOKUP($E43,'Data source'!$B$4:$T$111,15,FALSE))</f>
        <v>0</v>
      </c>
      <c r="BQ43" s="1380">
        <f>IF(OR($E43="",$H43="",$K43=0),0,VLOOKUP($E43,'Data source'!$B$4:$T$111,16,FALSE))</f>
        <v>0</v>
      </c>
      <c r="BR43" s="1380">
        <f>IF(OR($E43="",$H43="",$K43=0),0,VLOOKUP($E43,'Data source'!$B$4:$T$111,17,FALSE))</f>
        <v>0</v>
      </c>
      <c r="BS43" s="1380">
        <f>IF(OR($E43="",$H43="",$K43=0),0,VLOOKUP($E43,'Data source'!$B$4:$T$111,18,FALSE))</f>
        <v>0</v>
      </c>
      <c r="BT43" s="1408">
        <f>IF(OR($E43="",$H43="",$K43=0),0,VLOOKUP($E43,'Data source'!$B$4:$T$111,19,FALSE))</f>
        <v>0</v>
      </c>
      <c r="BU43" s="1385"/>
      <c r="BV43" s="1405">
        <f>IF(OR($E43="",$H43="",$K43&lt;=0),0,((43.498*$BN43)+(25.574*$BO43))-((28.206*$BP43)+(62.375*$BQ43)))*$AX43*10/1000</f>
        <v>0</v>
      </c>
      <c r="BW43" s="1242"/>
      <c r="BX43" s="1380" t="str">
        <f>IF(OR($E43="",$H43="",$K43&lt;=0,$AK43&lt;=0),"",VLOOKUP($E43,'Data source'!$B$15:$M$111,12,FALSE))</f>
        <v/>
      </c>
      <c r="BY43" s="1377" t="str">
        <f>IF(OR($E43="",$H43="",$K43&lt;=0,$AK43&lt;=0),"",IF($BX43="Dry",$AK43/$AW43/10,IF($BX43="Wet",$AK43/($AZ43/100)*$AW43/10,0)))</f>
        <v/>
      </c>
      <c r="BZ43" s="1377" t="str">
        <f>IF(OR($E43="",$H43="",$K43&lt;=0,$AK43&lt;=0,AY43=0),"",BY43/AY43)</f>
        <v/>
      </c>
      <c r="CA43" s="1407" t="str">
        <f>IF(OR($E43="",$H43="",$K43&lt;=0,$AK43&lt;=0),"",($BY43*$K43)/100)</f>
        <v/>
      </c>
      <c r="CB43" s="1388"/>
      <c r="CC43" s="44"/>
      <c r="CD43" s="94"/>
      <c r="CE43" s="94"/>
      <c r="CF43" s="44"/>
      <c r="CG43" s="44"/>
      <c r="CJ43" s="645"/>
      <c r="CK43" s="645"/>
      <c r="CL43" s="645"/>
      <c r="CM43" s="8"/>
      <c r="CN43" s="8"/>
      <c r="CQ43" s="8"/>
      <c r="CR43" s="8"/>
      <c r="CU43" s="1023"/>
      <c r="CV43" s="1019"/>
      <c r="CW43" s="1019"/>
      <c r="CX43" s="1019"/>
      <c r="CY43" s="1019"/>
      <c r="CZ43" s="1019"/>
      <c r="DA43" s="1019"/>
      <c r="DB43" s="1019"/>
      <c r="DC43" s="1019"/>
      <c r="DD43" s="1019"/>
      <c r="DE43" s="1019"/>
      <c r="DF43" s="1019"/>
      <c r="DG43" s="1019"/>
      <c r="DH43" s="1019"/>
      <c r="DI43" s="1019"/>
      <c r="DJ43" s="1019"/>
      <c r="DK43" s="1019"/>
      <c r="DL43" s="1019"/>
      <c r="DM43" s="1019"/>
      <c r="DN43" s="1019"/>
      <c r="DO43" s="1019"/>
      <c r="DP43" s="1019"/>
    </row>
    <row r="44" spans="1:120" s="7" customFormat="1" ht="15" customHeight="1" thickBot="1">
      <c r="A44" s="75"/>
      <c r="B44" s="1662"/>
      <c r="C44" s="1664"/>
      <c r="D44" s="1813"/>
      <c r="E44" s="1667"/>
      <c r="F44" s="1668"/>
      <c r="G44" s="1301"/>
      <c r="H44" s="1667"/>
      <c r="I44" s="1668"/>
      <c r="J44" s="1676"/>
      <c r="K44" s="1672"/>
      <c r="L44" s="1132"/>
      <c r="M44" s="1670"/>
      <c r="N44" s="1485" t="str">
        <f>IF(OR($H$7="Dry", K43=""),"",IF(AND(E43="PKE",K43&gt;3),"&gt;3",""))</f>
        <v/>
      </c>
      <c r="O44" s="1682"/>
      <c r="P44" s="1270"/>
      <c r="Q44" s="1670"/>
      <c r="R44" s="1487" t="str">
        <f>IF(OR($H$7="Dry", O43=""),"",IF(AND(E43="PKE",O43&gt;3),"&gt;3",""))</f>
        <v/>
      </c>
      <c r="S44" s="1036"/>
      <c r="T44" s="1146"/>
      <c r="U44" s="1036"/>
      <c r="V44" s="1368"/>
      <c r="W44" s="1697"/>
      <c r="X44" s="1695"/>
      <c r="Y44" s="1695"/>
      <c r="AA44" s="1754"/>
      <c r="AB44" s="1806"/>
      <c r="AC44" s="1809"/>
      <c r="AD44" s="1807"/>
      <c r="AE44" s="1369"/>
      <c r="AF44" s="1289"/>
      <c r="AG44" s="105"/>
      <c r="AH44" s="1142"/>
      <c r="AI44" s="1036"/>
      <c r="AJ44" s="1108"/>
      <c r="AK44" s="1707"/>
      <c r="AL44" s="1705"/>
      <c r="AM44" s="1098"/>
      <c r="AN44" s="1703"/>
      <c r="AO44" s="1701"/>
      <c r="AP44" s="1098"/>
      <c r="AQ44" s="1703"/>
      <c r="AR44" s="1701"/>
      <c r="AS44" s="1167"/>
      <c r="AT44" s="75"/>
      <c r="AU44" s="1684"/>
      <c r="AV44" s="1188" t="str">
        <f>IF(OR(P43="",$Q$34="NO"),"",2)</f>
        <v/>
      </c>
      <c r="AW44" s="239" t="str">
        <f>IF(OR($E43="",$H43="",$O43&lt;=0,$Q$34="NO"),"",VLOOKUP($H43,'Data source'!$B$128:$C$188,2,FALSE))</f>
        <v/>
      </c>
      <c r="AX44" s="237">
        <f>IF(OR($E43="",$H43="",$O43&lt;=0,$Q$34="NO"),0,$O43*$AW44)</f>
        <v>0</v>
      </c>
      <c r="AY44" s="237" t="str">
        <f>IF(OR($E43="",$H43="",$O43&lt;=0,$Q$34="NO"),"",VLOOKUP($E43,'Data source'!$B$4:$I$111,3,FALSE))</f>
        <v/>
      </c>
      <c r="AZ44" s="237" t="str">
        <f>IF(OR($E43="",$H43="",$O43&lt;=0,$Q$34="NO"),"",VLOOKUP($E43,'Data source'!$B$4:$I$111,2,FALSE))</f>
        <v/>
      </c>
      <c r="BA44" s="238" t="str">
        <f>IF(OR($E43="",$H43="",$O43&lt;=0,$Q$34="NO"),"",$AX44*$AY44)</f>
        <v/>
      </c>
      <c r="BB44" s="1392"/>
      <c r="BC44" s="240" t="str">
        <f>IF(OR($E43="",$H43="",$O43&lt;=0,$Q$34="NO"),"",VLOOKUP($E43,'Data source'!$B$4:$I$111,4,FALSE))</f>
        <v/>
      </c>
      <c r="BD44" s="237" t="str">
        <f>IF(OR($E43="",$H43="",$O43&lt;=0,$Q$34="NO"),"",(($AX44/$AX$73)*$BC44))</f>
        <v/>
      </c>
      <c r="BE44" s="237" t="str">
        <f>IF(OR($E43="",$H43="",$O43&lt;=0,$Q$34="NO"),"",VLOOKUP($E43,'Data source'!$B$4:$I$111,5,FALSE))</f>
        <v/>
      </c>
      <c r="BF44" s="237" t="str">
        <f>IF(OR($E43="",$H43="",$O43&lt;=0,$Q$34="NO"),"",(($AX44/$AX$73)*BE44))</f>
        <v/>
      </c>
      <c r="BG44" s="237" t="str">
        <f>IF(OR($E43="",$H43="",$O43&lt;=0,$Q$34="NO"),"",VLOOKUP($E43,'Data source'!$B$4:$I$111,6,FALSE))</f>
        <v/>
      </c>
      <c r="BH44" s="237" t="str">
        <f>IF(OR($E43="",$H43="",$O43&lt;=0,$Q$34="NO"),"",(($AX44/$AX$73)*BG44))</f>
        <v/>
      </c>
      <c r="BI44" s="237" t="str">
        <f>IF(OR($E43="",$H43="",$O43&lt;=0,$Q$34="NO"),"",VLOOKUP($E43,'Data source'!$B$4:$I$111,7,FALSE))</f>
        <v/>
      </c>
      <c r="BJ44" s="237" t="str">
        <f>IF(OR($E43="",$H43="",$O43&lt;=0,$Q$34="NO"),"",(BI44/100*BH44)*($AX44/$AX$73))</f>
        <v/>
      </c>
      <c r="BK44" s="237" t="str">
        <f>IF(OR($E43="",$H43="",$O43&lt;=0,$Q$34="NO"),"",VLOOKUP($E43,'Data source'!$B$4:$I$111,8,FALSE))</f>
        <v/>
      </c>
      <c r="BL44" s="241" t="str">
        <f>IF(OR($E43="",$H43="",$O43&lt;=0,$Q$34="NO"),"",(($AX44/$AX$73)*BK44))</f>
        <v/>
      </c>
      <c r="BM44" s="1242"/>
      <c r="BN44" s="240">
        <f>IF(OR($E43="",$H43="",$O43&lt;=0,$Q$34="NO"),0,VLOOKUP($E43,'Data source'!$B$4:$T$111,13,FALSE))</f>
        <v>0</v>
      </c>
      <c r="BO44" s="237">
        <f>IF(OR($E43="",$H43="",$O43&lt;=0,$Q$34="NO"),0,VLOOKUP($E43,'Data source'!$B$4:$T$111,14,FALSE))</f>
        <v>0</v>
      </c>
      <c r="BP44" s="237">
        <f>IF(OR($E43="",$H43="",$O43&lt;=0,$Q$34="NO"),0,VLOOKUP($E43,'Data source'!$B$4:$T$111,15,FALSE))</f>
        <v>0</v>
      </c>
      <c r="BQ44" s="237">
        <f>IF(OR($E43="",$H43="",$O43&lt;=0,$Q$34="NO"),0,VLOOKUP($E43,'Data source'!$B$4:$T$111,16,FALSE))</f>
        <v>0</v>
      </c>
      <c r="BR44" s="237">
        <f>IF(OR($E43="",$H43="",$O43&lt;=0,$Q$34="NO"),0,VLOOKUP($E43,'Data source'!$B$4:$T$111,17,FALSE))</f>
        <v>0</v>
      </c>
      <c r="BS44" s="237">
        <f>IF(OR($E43="",$H43="",$O43&lt;=0,$Q$34="NO"),0,VLOOKUP($E43,'Data source'!$B$4:$T$111,18,FALSE))</f>
        <v>0</v>
      </c>
      <c r="BT44" s="241">
        <f>IF(OR($E43="",$H43="",$O43&lt;=0,$Q$34="NO"),0,VLOOKUP($E43,'Data source'!$B$4:$T$111,19,FALSE))</f>
        <v>0</v>
      </c>
      <c r="BU44" s="1385"/>
      <c r="BV44" s="982">
        <f>IF(OR($E43="",$H43="",$O43&lt;=0,$Q$34="NO"),0,((43.498*$BN44)+(25.574*$BO44))-((28.206*$BP44)+(62.375*$BQ44)))*$AX44*10/1000</f>
        <v>0</v>
      </c>
      <c r="BW44" s="1242"/>
      <c r="BX44" s="240" t="str">
        <f>IF(OR($E43="",$H43="",$O43&lt;=0,$AK43&lt;=0,$Q$34="NO"),"",VLOOKUP($E43,'Data source'!$B$15:$M$104,12,FALSE))</f>
        <v/>
      </c>
      <c r="BY44" s="237" t="str">
        <f>IF(OR($E43="",$H43="",$O43&lt;=0,$AK43&lt;=0,$Q$34="NO"),"",IF($BX44="Dry",$AK43/$AW44/10,IF($BX44="Wet",$AK43/($AZ44/100)*$AW44/10,0)))</f>
        <v/>
      </c>
      <c r="BZ44" s="237" t="str">
        <f>IF(OR($E43="",$H43="",$O43&lt;=0,$AK43&lt;=0,AY44=0,$Q$34="NO"),"",IF(OR($AS44="-",$O43=0),"",BY44/AY44))</f>
        <v/>
      </c>
      <c r="CA44" s="1000" t="str">
        <f>IF(OR($E43="",$H43="",$O43&lt;=0,$AK43&lt;=0,$Q$34="NO"),"",IF(OR($Q16="-",$AS44="-",$O43=0),"",($BY44*$O43)/100))</f>
        <v/>
      </c>
      <c r="CB44" s="1388"/>
      <c r="CC44" s="44"/>
      <c r="CD44" s="94"/>
      <c r="CE44" s="94"/>
      <c r="CF44" s="44"/>
      <c r="CG44" s="44"/>
      <c r="CJ44" s="645"/>
      <c r="CK44" s="645"/>
      <c r="CL44" s="645"/>
      <c r="CM44" s="8"/>
      <c r="CN44" s="8"/>
      <c r="CQ44" s="8"/>
      <c r="CR44" s="8"/>
      <c r="CU44" s="1023"/>
      <c r="CV44" s="1019"/>
      <c r="CW44" s="1019"/>
      <c r="CX44" s="1019"/>
      <c r="CY44" s="1019"/>
      <c r="CZ44" s="1019"/>
      <c r="DA44" s="1019"/>
      <c r="DB44" s="1019"/>
      <c r="DC44" s="1019"/>
      <c r="DD44" s="1019"/>
      <c r="DE44" s="1019"/>
      <c r="DF44" s="1019"/>
      <c r="DG44" s="1019"/>
      <c r="DH44" s="1019"/>
      <c r="DI44" s="1019"/>
      <c r="DJ44" s="1019"/>
      <c r="DK44" s="1019"/>
      <c r="DL44" s="1019"/>
      <c r="DM44" s="1019"/>
      <c r="DN44" s="1019"/>
      <c r="DO44" s="1019"/>
      <c r="DP44" s="1019"/>
    </row>
    <row r="45" spans="1:120" s="7" customFormat="1" ht="9" customHeight="1" thickTop="1" thickBot="1">
      <c r="A45" s="75"/>
      <c r="B45" s="1028"/>
      <c r="C45" s="1300"/>
      <c r="D45" s="1362"/>
      <c r="E45" s="1302"/>
      <c r="F45" s="1302"/>
      <c r="G45" s="1303"/>
      <c r="H45" s="1302"/>
      <c r="I45" s="1302"/>
      <c r="J45" s="1573"/>
      <c r="K45" s="1158"/>
      <c r="L45" s="1130"/>
      <c r="M45" s="1577"/>
      <c r="N45" s="51"/>
      <c r="O45" s="1159"/>
      <c r="P45" s="1224"/>
      <c r="Q45" s="1577"/>
      <c r="R45" s="1089"/>
      <c r="S45" s="1036"/>
      <c r="T45" s="1146"/>
      <c r="U45" s="1036"/>
      <c r="V45" s="1366"/>
      <c r="W45"/>
      <c r="X45" s="8"/>
      <c r="Y45" s="8"/>
      <c r="Z45" s="8"/>
      <c r="AA45" s="8"/>
      <c r="AB45" s="8"/>
      <c r="AC45" s="8"/>
      <c r="AD45" s="8"/>
      <c r="AE45" s="1367"/>
      <c r="AF45" s="1289"/>
      <c r="AG45" s="105"/>
      <c r="AH45" s="1142"/>
      <c r="AI45" s="1036"/>
      <c r="AJ45" s="1035"/>
      <c r="AK45" s="1016"/>
      <c r="AL45" s="1155" t="str">
        <f>IF(OR($E44="-",$H44="-",$O45&lt;=0,$AK44&lt;=0,$Q$34="NO"),"",IF(OR(#REF!="-",$AS45="-",$O45=0),"",($BY45*$O45)/100))</f>
        <v/>
      </c>
      <c r="AM45" s="1071"/>
      <c r="AN45" s="1151"/>
      <c r="AO45" s="1152"/>
      <c r="AP45" s="1071"/>
      <c r="AQ45" s="1198"/>
      <c r="AR45" s="1154"/>
      <c r="AS45" s="1167"/>
      <c r="AT45" s="75"/>
      <c r="AU45" s="1382"/>
      <c r="AV45" s="1383"/>
      <c r="AW45" s="1389"/>
      <c r="AX45" s="1390"/>
      <c r="AY45" s="1390"/>
      <c r="AZ45" s="1390"/>
      <c r="BA45" s="1391"/>
      <c r="BB45" s="1392"/>
      <c r="BC45" s="1392"/>
      <c r="BD45" s="1392"/>
      <c r="BE45" s="1392"/>
      <c r="BF45" s="1392"/>
      <c r="BG45" s="1392"/>
      <c r="BH45" s="1392"/>
      <c r="BI45" s="1392"/>
      <c r="BJ45" s="1392"/>
      <c r="BK45" s="1392"/>
      <c r="BL45" s="1392"/>
      <c r="BM45" s="1392"/>
      <c r="BN45" s="1393"/>
      <c r="BO45" s="1393"/>
      <c r="BP45" s="1393"/>
      <c r="BQ45" s="1393"/>
      <c r="BR45" s="1393"/>
      <c r="BS45" s="1393"/>
      <c r="BT45" s="1393"/>
      <c r="BU45" s="1385"/>
      <c r="BV45" s="1386"/>
      <c r="BW45" s="1393"/>
      <c r="BX45" s="1392"/>
      <c r="BY45" s="1392"/>
      <c r="BZ45" s="1392"/>
      <c r="CA45" s="1394"/>
      <c r="CB45" s="1388"/>
      <c r="CC45" s="44"/>
      <c r="CD45" s="94"/>
      <c r="CE45" s="94"/>
      <c r="CF45" s="44"/>
      <c r="CG45" s="44"/>
      <c r="CJ45" s="645"/>
      <c r="CK45" s="645"/>
      <c r="CL45" s="645"/>
      <c r="CM45" s="8"/>
      <c r="CN45" s="8"/>
      <c r="CQ45" s="8"/>
      <c r="CR45" s="8"/>
      <c r="CU45" s="1023"/>
      <c r="CV45" s="1019"/>
      <c r="CW45" s="1019"/>
      <c r="CX45" s="1019"/>
      <c r="CY45" s="1019"/>
      <c r="CZ45" s="1019"/>
      <c r="DA45" s="1019"/>
      <c r="DB45" s="1019"/>
      <c r="DC45" s="1019"/>
      <c r="DD45" s="1019"/>
      <c r="DE45" s="1019"/>
      <c r="DF45" s="1019"/>
      <c r="DG45" s="1019"/>
      <c r="DH45" s="1019"/>
      <c r="DI45" s="1019"/>
      <c r="DJ45" s="1019"/>
      <c r="DK45" s="1019"/>
      <c r="DL45" s="1019"/>
      <c r="DM45" s="1019"/>
      <c r="DN45" s="1019"/>
      <c r="DO45" s="1019"/>
      <c r="DP45" s="1019"/>
    </row>
    <row r="46" spans="1:120" ht="15" customHeight="1" thickTop="1">
      <c r="A46" s="75"/>
      <c r="B46" s="1662"/>
      <c r="C46" s="1663"/>
      <c r="D46" s="1824" t="str">
        <f>IF(C46="Minerals","i","")</f>
        <v/>
      </c>
      <c r="E46" s="1665"/>
      <c r="F46" s="1666"/>
      <c r="H46" s="1665"/>
      <c r="I46" s="1666"/>
      <c r="J46" s="1677" t="str">
        <f>IF(OR($C46="",$E46="",$H46=""),"",VLOOKUP($H46,'Data source'!$B$128:$C$188,2,FALSE))</f>
        <v/>
      </c>
      <c r="K46" s="1671"/>
      <c r="L46" s="882" t="str">
        <f>IF(OR(C46="",E46="",H46=""),"",K46)</f>
        <v/>
      </c>
      <c r="M46" s="1669" t="str">
        <f>IF(AX46=0,"",AX46)</f>
        <v/>
      </c>
      <c r="N46" s="51"/>
      <c r="O46" s="1681"/>
      <c r="P46" s="882" t="str">
        <f>IF(OR(C46="",E46="",H46=""),"",O46)</f>
        <v/>
      </c>
      <c r="Q46" s="1669" t="str">
        <f>IF(AX47=0,"",AX47)</f>
        <v/>
      </c>
      <c r="R46" s="1486" t="str">
        <f>IF(OR(N47="&gt;3",R47="&gt;3"),"i","")</f>
        <v/>
      </c>
      <c r="S46" s="1036"/>
      <c r="T46" s="1146"/>
      <c r="U46" s="1036"/>
      <c r="V46" s="1366"/>
      <c r="W46" s="1696" t="s">
        <v>142</v>
      </c>
      <c r="X46" s="1692" t="str">
        <f>IF(Y12="No","",CJ7)</f>
        <v/>
      </c>
      <c r="Y46" s="1692" t="str">
        <f>IF(Y12="No","",CK7)</f>
        <v/>
      </c>
      <c r="AA46" s="1758" t="str">
        <f>IF($K$71&gt;0,BD72,"")</f>
        <v/>
      </c>
      <c r="AB46" s="1755" t="str">
        <f>IF(OR(X46="",AA46=""),"",IF(AA46&lt;(0.9*X46),"i",""))</f>
        <v/>
      </c>
      <c r="AC46" s="1758" t="str">
        <f>IF(AND($Q$34="YES",$O$71&gt;0),BD73,"")</f>
        <v/>
      </c>
      <c r="AD46" s="1751" t="str">
        <f>IF(OR(X46="",AC46=""),"",IF(AC46&lt;0.9*X46,"i",""))</f>
        <v/>
      </c>
      <c r="AE46" s="1367"/>
      <c r="AF46" s="1286" t="str">
        <f>IF($C46="Hay_Silage","FT1_",IF($C46="Concentrates","FT2_",IF($C46="By_products","FT3_",IF($C46="Fodder_beet_Default","FT4_",IF($C46="Other_Crops_Default","FT5_",IF($C46="Minerals","FT6_",IF($C46="Custom_Feeds_Minerals","FT7_",IF($C46="Custom_Bulb_Crops","FT8_","-"))))))))</f>
        <v>-</v>
      </c>
      <c r="AG46" s="105"/>
      <c r="AH46" s="1142"/>
      <c r="AI46" s="1036"/>
      <c r="AJ46" s="1109"/>
      <c r="AK46" s="1706">
        <v>200</v>
      </c>
      <c r="AL46" s="1704" t="str">
        <f>IF(OR($E46="",$H46=""),"",IF(AY46="",IF(AY47&gt;0,BZ47,0),BZ46))</f>
        <v/>
      </c>
      <c r="AM46" s="1098"/>
      <c r="AN46" s="1702" t="str">
        <f>IF(OR($E46="",$H46="",$K46="",$O$6=""),"",($K46/1000)*$O$6)</f>
        <v/>
      </c>
      <c r="AO46" s="1700" t="str">
        <f>CA46</f>
        <v/>
      </c>
      <c r="AP46" s="1098"/>
      <c r="AQ46" s="1702" t="str">
        <f>IF(OR($E46="",$H46="",$O46="",$O$6=""),"",($O46/1000)*$O$6)</f>
        <v/>
      </c>
      <c r="AR46" s="1700" t="str">
        <f>CA47</f>
        <v/>
      </c>
      <c r="AS46" s="1167"/>
      <c r="AT46" s="75"/>
      <c r="AU46" s="1683" t="str">
        <f>IF(E46="","",E46)</f>
        <v/>
      </c>
      <c r="AV46" s="1187" t="str">
        <f>IF(L46="","",1)</f>
        <v/>
      </c>
      <c r="AW46" s="1379" t="str">
        <f>IF(OR($E46="",$H46="",$K46&lt;=0),"",VLOOKUP($H46,'Data source'!$B$128:$C$188,2,FALSE))</f>
        <v/>
      </c>
      <c r="AX46" s="434">
        <f>IF(OR($E46="",$H46="",$K46&lt;=0),0,K46*AW46)</f>
        <v>0</v>
      </c>
      <c r="AY46" s="1380" t="str">
        <f>IF(OR($E46="",$H46="",$K46=0),"",VLOOKUP($E46,'Data source'!$B$4:$I$111,3,FALSE))</f>
        <v/>
      </c>
      <c r="AZ46" s="1380" t="str">
        <f>IF(OR($E46="",$H46="",$K46=0),"",VLOOKUP($E46,'Data source'!$B$4:$I$111,2,FALSE))</f>
        <v/>
      </c>
      <c r="BA46" s="1378" t="str">
        <f>IF(OR($E46="",$H46="",$K46&lt;=0),"",AX46*AY46)</f>
        <v/>
      </c>
      <c r="BB46" s="1392"/>
      <c r="BC46" s="1380" t="str">
        <f>IF(OR($E46="",$H46="",$K46=0),"",VLOOKUP($E46,'Data source'!$B$4:$I$111,4,FALSE))</f>
        <v/>
      </c>
      <c r="BD46" s="1377" t="str">
        <f>IF(OR($E46="",$H46="",$K46&lt;=0),"",(($AX46/$AX$72)*BC46))</f>
        <v/>
      </c>
      <c r="BE46" s="1380" t="str">
        <f>IF(OR($E46="",$H46="",$K46=0),"",VLOOKUP($E46,'Data source'!$B$4:$I$111,5,FALSE))</f>
        <v/>
      </c>
      <c r="BF46" s="1377" t="str">
        <f>IF(OR($E46="",$H46="",$K46&lt;=0),"",(($AX46/$AX$72)*BE46))</f>
        <v/>
      </c>
      <c r="BG46" s="1380" t="str">
        <f>IF(OR($E46="",$H46="",$K46=0),"",VLOOKUP($E46,'Data source'!$B$4:$I$111,6,FALSE))</f>
        <v/>
      </c>
      <c r="BH46" s="1377" t="str">
        <f>IF(OR($E46="",$H46="",$K46&lt;=0),"",(($AX46/$AX$72)*BG46))</f>
        <v/>
      </c>
      <c r="BI46" s="1380" t="str">
        <f>IF(OR($E46="",$H46="",$K46=0),"",VLOOKUP($E46,'Data source'!$B$4:$I$111,7,FALSE))</f>
        <v/>
      </c>
      <c r="BJ46" s="1377" t="str">
        <f>IF(OR($E46="",$H46="",$K46&lt;=0),"",(BI46/100*BH46)*($AX46/$AX$72))</f>
        <v/>
      </c>
      <c r="BK46" s="1380" t="str">
        <f>IF(OR($E46="",$H46="",$K46=0),"",VLOOKUP($E46,'Data source'!$B$4:$I$111,8,FALSE))</f>
        <v/>
      </c>
      <c r="BL46" s="1381" t="str">
        <f>IF(OR($E46="",$H46="",$K46&lt;=0),"",(($AX46/$AX$72)*BK46))</f>
        <v/>
      </c>
      <c r="BM46" s="1242"/>
      <c r="BN46" s="1380">
        <f>IF(OR($E46="",$H46="",$K46=0),0,VLOOKUP($E46,'Data source'!$B$4:$T$111,13,FALSE))</f>
        <v>0</v>
      </c>
      <c r="BO46" s="1380">
        <f>IF(OR($E46="",$H46="",$K46=0),0,VLOOKUP($E46,'Data source'!$B$4:$T$111,14,FALSE))</f>
        <v>0</v>
      </c>
      <c r="BP46" s="1380">
        <f>IF(OR($E46="",$H46="",$K46=0),0,VLOOKUP($E46,'Data source'!$B$4:$T$111,15,FALSE))</f>
        <v>0</v>
      </c>
      <c r="BQ46" s="1380">
        <f>IF(OR($E46="",$H46="",$K46=0),0,VLOOKUP($E46,'Data source'!$B$4:$T$111,16,FALSE))</f>
        <v>0</v>
      </c>
      <c r="BR46" s="1380">
        <f>IF(OR($E46="",$H46="",$K46=0),0,VLOOKUP($E46,'Data source'!$B$4:$T$111,17,FALSE))</f>
        <v>0</v>
      </c>
      <c r="BS46" s="1380">
        <f>IF(OR($E46="",$H46="",$K46=0),0,VLOOKUP($E46,'Data source'!$B$4:$T$111,18,FALSE))</f>
        <v>0</v>
      </c>
      <c r="BT46" s="1408">
        <f>IF(OR($E46="",$H46="",$K46=0),0,VLOOKUP($E46,'Data source'!$B$4:$T$111,19,FALSE))</f>
        <v>0</v>
      </c>
      <c r="BU46" s="1385"/>
      <c r="BV46" s="1405">
        <f>IF(OR($E46="",$H46="",$K46&lt;=0),0,((43.498*$BN46)+(25.574*$BO46))-((28.206*$BP46)+(62.375*$BQ46)))*$AX46*10/1000</f>
        <v>0</v>
      </c>
      <c r="BW46" s="1242"/>
      <c r="BX46" s="1380" t="str">
        <f>IF(OR($E46="",$H46="",$K46&lt;=0,$AK46&lt;=0),"",VLOOKUP($E46,'Data source'!$B$15:$M$111,12,FALSE))</f>
        <v/>
      </c>
      <c r="BY46" s="1377" t="str">
        <f>IF(OR($E46="",$H46="",$K46&lt;=0,$AK46&lt;=0),"",IF($BX46="Dry",$AK46/$AW46/10,IF($BX46="Wet",$AK46/($AZ46/100)*$AW46/10,0)))</f>
        <v/>
      </c>
      <c r="BZ46" s="1377" t="str">
        <f>IF(OR($E46="",$H46="",$K46&lt;=0,$AK46&lt;=0,AY46=0),"",BY46/AY46)</f>
        <v/>
      </c>
      <c r="CA46" s="1407" t="str">
        <f>IF(OR($E46="",$H46="",$K46&lt;=0,$AK46&lt;=0),"",($BY46*$K46)/100)</f>
        <v/>
      </c>
      <c r="CB46" s="1388"/>
      <c r="CC46" s="44"/>
      <c r="CD46" s="94"/>
      <c r="CE46" s="94"/>
      <c r="CF46" s="44"/>
      <c r="CG46" s="914"/>
      <c r="CH46" s="7"/>
      <c r="CI46" s="129"/>
      <c r="CJ46" s="645"/>
      <c r="CK46" s="645"/>
      <c r="CL46" s="645"/>
      <c r="CM46" s="129"/>
      <c r="CN46" s="8"/>
      <c r="CO46" s="1760"/>
      <c r="CP46" s="1760"/>
      <c r="CQ46" s="8"/>
      <c r="CR46" s="1760"/>
      <c r="CS46" s="1760"/>
      <c r="CT46" s="7"/>
      <c r="CU46" s="1772"/>
      <c r="CV46" s="1772"/>
      <c r="CW46" s="1019"/>
      <c r="CX46" s="1019"/>
      <c r="CY46" s="1019"/>
      <c r="CZ46" s="1017"/>
      <c r="DA46" s="1017"/>
      <c r="DB46" s="1017"/>
      <c r="DC46" s="1017"/>
      <c r="DD46" s="1017"/>
      <c r="DE46" s="1017"/>
      <c r="DF46" s="1017"/>
      <c r="DG46" s="1017"/>
      <c r="DH46" s="1017"/>
      <c r="DI46" s="1017"/>
      <c r="DJ46" s="1017"/>
      <c r="DK46" s="1017"/>
      <c r="DL46" s="1017"/>
      <c r="DM46" s="1017"/>
      <c r="DN46" s="1017"/>
      <c r="DO46" s="1017"/>
      <c r="DP46" s="1017"/>
    </row>
    <row r="47" spans="1:120" ht="15" customHeight="1" thickBot="1">
      <c r="A47" s="75"/>
      <c r="B47" s="1662"/>
      <c r="C47" s="1664"/>
      <c r="D47" s="1824"/>
      <c r="E47" s="1667"/>
      <c r="F47" s="1668"/>
      <c r="G47" s="1304"/>
      <c r="H47" s="1667"/>
      <c r="I47" s="1668"/>
      <c r="J47" s="1678"/>
      <c r="K47" s="1672"/>
      <c r="L47" s="1132"/>
      <c r="M47" s="1670"/>
      <c r="N47" s="1485" t="str">
        <f>IF(OR($H$7="Dry", K46=""),"",IF(AND(E46="PKE",K46&gt;3),"&gt;3",""))</f>
        <v/>
      </c>
      <c r="O47" s="1682"/>
      <c r="P47" s="1271"/>
      <c r="Q47" s="1670"/>
      <c r="R47" s="1487" t="str">
        <f>IF(OR($H$7="Dry", O46=""),"",IF(AND(E46="PKE",O46&gt;3),"&gt;3",""))</f>
        <v/>
      </c>
      <c r="S47" s="1036"/>
      <c r="T47" s="1146"/>
      <c r="U47" s="1036"/>
      <c r="V47" s="1368"/>
      <c r="W47" s="1697"/>
      <c r="X47" s="1693"/>
      <c r="Y47" s="1693"/>
      <c r="Z47" s="7"/>
      <c r="AA47" s="1759"/>
      <c r="AB47" s="1755"/>
      <c r="AC47" s="1759"/>
      <c r="AD47" s="1751"/>
      <c r="AE47" s="1369"/>
      <c r="AF47" s="1289"/>
      <c r="AG47" s="105"/>
      <c r="AH47" s="1142"/>
      <c r="AI47" s="1036"/>
      <c r="AJ47" s="1109"/>
      <c r="AK47" s="1707"/>
      <c r="AL47" s="1705"/>
      <c r="AM47" s="1098"/>
      <c r="AN47" s="1703"/>
      <c r="AO47" s="1701"/>
      <c r="AP47" s="1098"/>
      <c r="AQ47" s="1703"/>
      <c r="AR47" s="1701"/>
      <c r="AS47" s="1167"/>
      <c r="AT47" s="75"/>
      <c r="AU47" s="1684"/>
      <c r="AV47" s="1188" t="str">
        <f>IF(OR(P46="",$Q$34="NO"),"",2)</f>
        <v/>
      </c>
      <c r="AW47" s="239" t="str">
        <f>IF(OR($E46="",$H46="",$O46&lt;=0,$Q$34="NO"),"",VLOOKUP($H46,'Data source'!$B$128:$C$188,2,FALSE))</f>
        <v/>
      </c>
      <c r="AX47" s="237">
        <f>IF(OR($E46="",$H46="",$O46&lt;=0,$Q$34="NO"),0,$O46*$AW47)</f>
        <v>0</v>
      </c>
      <c r="AY47" s="237" t="str">
        <f>IF(OR($E46="",$H46="",$O46&lt;=0,$Q$34="NO"),"",VLOOKUP($E46,'Data source'!$B$4:$I$111,3,FALSE))</f>
        <v/>
      </c>
      <c r="AZ47" s="237" t="str">
        <f>IF(OR($E46="",$H46="",$O46&lt;=0,$Q$34="NO"),"",VLOOKUP($E46,'Data source'!$B$4:$I$111,2,FALSE))</f>
        <v/>
      </c>
      <c r="BA47" s="238" t="str">
        <f>IF(OR($E46="",$H46="",$O46&lt;=0,$Q$34="NO"),"",$AX47*$AY47)</f>
        <v/>
      </c>
      <c r="BB47" s="1392"/>
      <c r="BC47" s="240" t="str">
        <f>IF(OR($E46="",$H46="",$O46&lt;=0,$Q$34="NO"),"",VLOOKUP($E46,'Data source'!$B$4:$I$111,4,FALSE))</f>
        <v/>
      </c>
      <c r="BD47" s="237" t="str">
        <f>IF(OR($E46="",$H46="",$O46&lt;=0,$Q$34="NO"),"",(($AX47/$AX$73)*$BC47))</f>
        <v/>
      </c>
      <c r="BE47" s="237" t="str">
        <f>IF(OR($E46="",$H46="",$O46&lt;=0,$Q$34="NO"),"",VLOOKUP($E46,'Data source'!$B$4:$I$111,5,FALSE))</f>
        <v/>
      </c>
      <c r="BF47" s="237" t="str">
        <f>IF(OR($E46="",$H46="",$O46&lt;=0,$Q$34="NO"),"",(($AX47/$AX$73)*BE47))</f>
        <v/>
      </c>
      <c r="BG47" s="237" t="str">
        <f>IF(OR($E46="",$H46="",$O46&lt;=0,$Q$34="NO"),"",VLOOKUP($E46,'Data source'!$B$4:$I$111,6,FALSE))</f>
        <v/>
      </c>
      <c r="BH47" s="237" t="str">
        <f>IF(OR($E46="",$H46="",$O46&lt;=0,$Q$34="NO"),"",(($AX47/$AX$73)*BG47))</f>
        <v/>
      </c>
      <c r="BI47" s="237" t="str">
        <f>IF(OR($E46="",$H46="",$O46&lt;=0,$Q$34="NO"),"",VLOOKUP($E46,'Data source'!$B$4:$I$111,7,FALSE))</f>
        <v/>
      </c>
      <c r="BJ47" s="237" t="str">
        <f>IF(OR($E46="",$H46="",$O46&lt;=0,$Q$34="NO"),"",(BI47/100*BH47)*($AX47/$AX$73))</f>
        <v/>
      </c>
      <c r="BK47" s="237" t="str">
        <f>IF(OR($E46="",$H46="",$O46&lt;=0,$Q$34="NO"),"",VLOOKUP($E46,'Data source'!$B$4:$I$111,8,FALSE))</f>
        <v/>
      </c>
      <c r="BL47" s="241" t="str">
        <f>IF(OR($E46="",$H46="",$O46&lt;=0,$Q$34="NO"),"",(($AX47/$AX$73)*BK47))</f>
        <v/>
      </c>
      <c r="BM47" s="1242"/>
      <c r="BN47" s="240">
        <f>IF(OR($E46="",$H46="",$O46&lt;=0,$Q$34="NO"),0,VLOOKUP($E46,'Data source'!$B$4:$T$111,13,FALSE))</f>
        <v>0</v>
      </c>
      <c r="BO47" s="237">
        <f>IF(OR($E46="",$H46="",$O46&lt;=0,$Q$34="NO"),0,VLOOKUP($E46,'Data source'!$B$4:$T$111,14,FALSE))</f>
        <v>0</v>
      </c>
      <c r="BP47" s="237">
        <f>IF(OR($E46="",$H46="",$O46&lt;=0,$Q$34="NO"),0,VLOOKUP($E46,'Data source'!$B$4:$T$111,15,FALSE))</f>
        <v>0</v>
      </c>
      <c r="BQ47" s="237">
        <f>IF(OR($E46="",$H46="",$O46&lt;=0,$Q$34="NO"),0,VLOOKUP($E46,'Data source'!$B$4:$T$111,16,FALSE))</f>
        <v>0</v>
      </c>
      <c r="BR47" s="237">
        <f>IF(OR($E46="",$H46="",$O46&lt;=0,$Q$34="NO"),0,VLOOKUP($E46,'Data source'!$B$4:$T$111,17,FALSE))</f>
        <v>0</v>
      </c>
      <c r="BS47" s="237">
        <f>IF(OR($E46="",$H46="",$O46&lt;=0,$Q$34="NO"),0,VLOOKUP($E46,'Data source'!$B$4:$T$111,18,FALSE))</f>
        <v>0</v>
      </c>
      <c r="BT47" s="241">
        <f>IF(OR($E46="",$H46="",$O46&lt;=0,$Q$34="NO"),0,VLOOKUP($E46,'Data source'!$B$4:$T$111,19,FALSE))</f>
        <v>0</v>
      </c>
      <c r="BU47" s="1385"/>
      <c r="BV47" s="982">
        <f>IF(OR($E46="",$H46="",$O46&lt;=0,$Q$34="NO"),0,((43.498*$BN47)+(25.574*$BO47))-((28.206*$BP47)+(62.375*$BQ47)))*$AX47*10/1000</f>
        <v>0</v>
      </c>
      <c r="BW47" s="1242"/>
      <c r="BX47" s="240" t="str">
        <f>IF(OR($E46="",$H46="",$O46&lt;=0,$AK46&lt;=0,$Q$34="NO"),"",VLOOKUP($E46,'Data source'!$B$15:$M$104,12,FALSE))</f>
        <v/>
      </c>
      <c r="BY47" s="237" t="str">
        <f>IF(OR($E46="",$H46="",$O46&lt;=0,$AK46&lt;=0,$Q$34="NO"),"",IF($BX47="Dry",$AK46/$AW47/10,IF($BX47="Wet",$AK46/($AZ47/100)*$AW47/10,0)))</f>
        <v/>
      </c>
      <c r="BZ47" s="237" t="str">
        <f>IF(OR($E46="",$H46="",$O46&lt;=0,$AK46&lt;=0,AY47=0,$Q$34="NO"),"",IF(OR($AS47="-",$O46=0),"",BY47/AY47))</f>
        <v/>
      </c>
      <c r="CA47" s="1000" t="str">
        <f>IF(OR($E46="",$H46="",$O46&lt;=0,$AK46&lt;=0,$Q$34="NO"),"",IF(OR($I23="-",$AS47="-",$O46=0),"",($BY47*$O46)/100))</f>
        <v/>
      </c>
      <c r="CB47" s="1388"/>
      <c r="CC47" s="44"/>
      <c r="CD47" s="94"/>
      <c r="CE47" s="94"/>
      <c r="CF47" s="44"/>
      <c r="CG47" s="914"/>
      <c r="CH47" s="7"/>
      <c r="CI47" s="129"/>
      <c r="CJ47" s="645"/>
      <c r="CK47" s="645"/>
      <c r="CL47" s="645"/>
      <c r="CM47" s="129"/>
      <c r="CN47" s="8"/>
      <c r="CO47" s="129"/>
      <c r="CP47" s="129"/>
      <c r="CQ47" s="8"/>
      <c r="CR47" s="129"/>
      <c r="CS47" s="129"/>
      <c r="CT47" s="7"/>
      <c r="CU47" s="1024"/>
      <c r="CV47" s="1024"/>
      <c r="CW47" s="1019"/>
      <c r="CX47" s="1019"/>
      <c r="CY47" s="1019"/>
      <c r="CZ47" s="1017"/>
      <c r="DA47" s="1017"/>
      <c r="DB47" s="1017"/>
      <c r="DC47" s="1017"/>
      <c r="DD47" s="1017"/>
      <c r="DE47" s="1017"/>
      <c r="DF47" s="1017"/>
      <c r="DG47" s="1017"/>
      <c r="DH47" s="1017"/>
      <c r="DI47" s="1017"/>
      <c r="DJ47" s="1017"/>
      <c r="DK47" s="1017"/>
      <c r="DL47" s="1017"/>
      <c r="DM47" s="1017"/>
      <c r="DN47" s="1017"/>
      <c r="DO47" s="1017"/>
      <c r="DP47" s="1017"/>
    </row>
    <row r="48" spans="1:120" s="7" customFormat="1" ht="9" customHeight="1" thickTop="1" thickBot="1">
      <c r="A48" s="75"/>
      <c r="B48" s="1028"/>
      <c r="C48" s="1300"/>
      <c r="D48" s="1362"/>
      <c r="E48" s="1302"/>
      <c r="F48" s="1302"/>
      <c r="G48" s="1303"/>
      <c r="H48" s="1302"/>
      <c r="I48" s="1302"/>
      <c r="J48" s="1573"/>
      <c r="K48" s="1158"/>
      <c r="L48" s="1130"/>
      <c r="M48" s="1577"/>
      <c r="N48" s="51"/>
      <c r="O48" s="1159"/>
      <c r="P48" s="1224"/>
      <c r="Q48" s="1577"/>
      <c r="R48" s="1080"/>
      <c r="S48" s="1036"/>
      <c r="T48" s="1146"/>
      <c r="U48" s="1036"/>
      <c r="V48" s="1366"/>
      <c r="W48"/>
      <c r="X48" s="8"/>
      <c r="Y48" s="8"/>
      <c r="Z48" s="8"/>
      <c r="AA48" s="8"/>
      <c r="AB48" s="1136"/>
      <c r="AC48" s="8"/>
      <c r="AD48" s="1137"/>
      <c r="AE48" s="1367"/>
      <c r="AF48" s="1289"/>
      <c r="AG48" s="105"/>
      <c r="AH48" s="1142"/>
      <c r="AI48" s="1036"/>
      <c r="AJ48" s="1035"/>
      <c r="AK48" s="1016"/>
      <c r="AL48" s="1155" t="str">
        <f>IF(OR($E47="-",$H47="-",$O48&lt;=0,$AK47&lt;=0,$Q$34="NO"),"",IF(OR(#REF!="-",$AS48="-",$O48=0),"",($BY48*$O48)/100))</f>
        <v/>
      </c>
      <c r="AM48" s="1071"/>
      <c r="AN48" s="1151"/>
      <c r="AO48" s="1152"/>
      <c r="AP48" s="1071"/>
      <c r="AQ48" s="1198"/>
      <c r="AR48" s="1154"/>
      <c r="AS48" s="1167"/>
      <c r="AT48" s="75"/>
      <c r="AU48" s="1382"/>
      <c r="AV48" s="1383"/>
      <c r="AW48" s="1389"/>
      <c r="AX48" s="1390"/>
      <c r="AY48" s="1390"/>
      <c r="AZ48" s="1390"/>
      <c r="BA48" s="1391"/>
      <c r="BB48" s="1392"/>
      <c r="BC48" s="1392"/>
      <c r="BD48" s="1392"/>
      <c r="BE48" s="1392"/>
      <c r="BF48" s="1392"/>
      <c r="BG48" s="1392"/>
      <c r="BH48" s="1392"/>
      <c r="BI48" s="1392"/>
      <c r="BJ48" s="1392"/>
      <c r="BK48" s="1392"/>
      <c r="BL48" s="1392"/>
      <c r="BM48" s="1392"/>
      <c r="BN48" s="1393"/>
      <c r="BO48" s="1393"/>
      <c r="BP48" s="1393"/>
      <c r="BQ48" s="1393"/>
      <c r="BR48" s="1393"/>
      <c r="BS48" s="1393"/>
      <c r="BT48" s="1393"/>
      <c r="BU48" s="1385"/>
      <c r="BV48" s="1386"/>
      <c r="BW48" s="1393"/>
      <c r="BX48" s="1392"/>
      <c r="BY48" s="1392"/>
      <c r="BZ48" s="1392"/>
      <c r="CA48" s="1394"/>
      <c r="CB48" s="1388"/>
      <c r="CC48" s="44"/>
      <c r="CD48" s="94"/>
      <c r="CE48" s="94"/>
      <c r="CF48" s="44"/>
      <c r="CG48" s="44"/>
      <c r="CJ48" s="645"/>
      <c r="CK48" s="645"/>
      <c r="CL48" s="645"/>
      <c r="CM48" s="8"/>
      <c r="CN48" s="8"/>
      <c r="CQ48" s="8"/>
      <c r="CR48" s="8"/>
      <c r="CU48" s="1023"/>
      <c r="CV48" s="1019"/>
      <c r="CW48" s="1019"/>
      <c r="CX48" s="1019"/>
      <c r="CY48" s="1019"/>
      <c r="CZ48" s="1019"/>
      <c r="DA48" s="1019"/>
      <c r="DB48" s="1019"/>
      <c r="DC48" s="1019"/>
      <c r="DD48" s="1019"/>
      <c r="DE48" s="1019"/>
      <c r="DF48" s="1019"/>
      <c r="DG48" s="1019"/>
      <c r="DH48" s="1019"/>
      <c r="DI48" s="1019"/>
      <c r="DJ48" s="1019"/>
      <c r="DK48" s="1019"/>
      <c r="DL48" s="1019"/>
      <c r="DM48" s="1019"/>
      <c r="DN48" s="1019"/>
      <c r="DO48" s="1019"/>
      <c r="DP48" s="1019"/>
    </row>
    <row r="49" spans="1:120" ht="15" customHeight="1" thickTop="1">
      <c r="A49" s="75"/>
      <c r="B49" s="1662"/>
      <c r="C49" s="1663"/>
      <c r="D49" s="1813" t="str">
        <f>IF(C49="Minerals","i","")</f>
        <v/>
      </c>
      <c r="E49" s="1665"/>
      <c r="F49" s="1666"/>
      <c r="H49" s="1665"/>
      <c r="I49" s="1666"/>
      <c r="J49" s="1675" t="str">
        <f>IF(OR($C49="",$E49="",$H49=""),"",VLOOKUP($H49,'Data source'!$B$128:$C$188,2,FALSE))</f>
        <v/>
      </c>
      <c r="K49" s="1671"/>
      <c r="L49" s="882" t="str">
        <f>IF(OR(C49="",E49="",H49=""),"",K49)</f>
        <v/>
      </c>
      <c r="M49" s="1669" t="str">
        <f>IF(AX49=0,"",AX49)</f>
        <v/>
      </c>
      <c r="N49" s="51"/>
      <c r="O49" s="1681"/>
      <c r="P49" s="882" t="str">
        <f>IF(OR(C49="",E49="",H49=""),"",O49)</f>
        <v/>
      </c>
      <c r="Q49" s="1669" t="str">
        <f>IF(AX50=0,"",AX50)</f>
        <v/>
      </c>
      <c r="R49" s="1486" t="str">
        <f>IF(OR(N50="&gt;3",R50="&gt;3"),"i","")</f>
        <v/>
      </c>
      <c r="S49" s="1036"/>
      <c r="T49" s="1146"/>
      <c r="U49" s="1036"/>
      <c r="V49" s="1366"/>
      <c r="W49" s="1797" t="s">
        <v>12</v>
      </c>
      <c r="X49" s="1692" t="str">
        <f>IF(Y12="No","","&gt;35")</f>
        <v/>
      </c>
      <c r="Y49" s="772"/>
      <c r="Z49" s="1752"/>
      <c r="AA49" s="1753" t="str">
        <f>IF($K$71&gt;0,BF72,"")</f>
        <v/>
      </c>
      <c r="AB49" s="1755" t="str">
        <f>IF(OR(X49="",AA49=""),"",IF(AA49&lt;=0.9*35,"i",IF(AA49&gt;60/0.9,"i","")))</f>
        <v/>
      </c>
      <c r="AC49" s="1753" t="str">
        <f>IF(AND($Q$34="YES",$O$71&gt;0),BF73,"")</f>
        <v/>
      </c>
      <c r="AD49" s="1751" t="str">
        <f>IF(OR(X49="",AC49=""),"",IF(AC49&lt;=0.9*35,"i",IF(AC49&gt;60/0.9,"i","")))</f>
        <v/>
      </c>
      <c r="AE49" s="1367"/>
      <c r="AF49" s="1286" t="str">
        <f>IF($C49="Hay_Silage","FT1_",IF($C49="Concentrates","FT2_",IF($C49="By_products","FT3_",IF($C49="Fodder_beet_Default","FT4_",IF($C49="Other_Crops_Default","FT5_",IF($C49="Minerals","FT6_",IF($C49="Custom_Feeds_Minerals","FT7_",IF($C49="Custom_Bulb_Crops","FT8_","-"))))))))</f>
        <v>-</v>
      </c>
      <c r="AG49" s="105"/>
      <c r="AH49" s="1142"/>
      <c r="AI49" s="1036"/>
      <c r="AJ49" s="1109"/>
      <c r="AK49" s="1706"/>
      <c r="AL49" s="1704" t="str">
        <f>IF(OR($E49="",$H49=""),"",IF(AY49="",IF(AY50&gt;0,BZ50,0),BZ49))</f>
        <v/>
      </c>
      <c r="AM49" s="1098"/>
      <c r="AN49" s="1702" t="str">
        <f>IF(OR($E49="",$H49="",$K49="",$O$6=""),"",($K49/1000)*$O$6)</f>
        <v/>
      </c>
      <c r="AO49" s="1700" t="str">
        <f>CA49</f>
        <v/>
      </c>
      <c r="AP49" s="1098"/>
      <c r="AQ49" s="1702" t="str">
        <f>IF(OR($E49="",$H49="",$O49="",$O$6=""),"",($O49/1000)*$O$6)</f>
        <v/>
      </c>
      <c r="AR49" s="1700" t="str">
        <f>CA50</f>
        <v/>
      </c>
      <c r="AS49" s="1167"/>
      <c r="AT49" s="75"/>
      <c r="AU49" s="1698" t="str">
        <f>IF(E49="","",E49)</f>
        <v/>
      </c>
      <c r="AV49" s="1187" t="str">
        <f>IF(L49="","",1)</f>
        <v/>
      </c>
      <c r="AW49" s="1379" t="str">
        <f>IF(OR($E49="",$H49="",$K49&lt;=0),"",VLOOKUP($H49,'Data source'!$B$128:$C$188,2,FALSE))</f>
        <v/>
      </c>
      <c r="AX49" s="434">
        <f>IF(OR($E49="",$H49="",$K49&lt;=0),0,K49*AW49)</f>
        <v>0</v>
      </c>
      <c r="AY49" s="1380" t="str">
        <f>IF(OR($E49="",$H49="",$K49=0),"",VLOOKUP($E49,'Data source'!$B$4:$I$111,3,FALSE))</f>
        <v/>
      </c>
      <c r="AZ49" s="1380" t="str">
        <f>IF(OR($E49="",$H49="",$K49=0),"",VLOOKUP($E49,'Data source'!$B$4:$I$111,2,FALSE))</f>
        <v/>
      </c>
      <c r="BA49" s="1378" t="str">
        <f>IF(OR($E49="",$H49="",$K49&lt;=0),"",AX49*AY49)</f>
        <v/>
      </c>
      <c r="BB49" s="1392"/>
      <c r="BC49" s="1380" t="str">
        <f>IF(OR($E49="",$H49="",$K49=0),"",VLOOKUP($E49,'Data source'!$B$4:$I$111,4,FALSE))</f>
        <v/>
      </c>
      <c r="BD49" s="1377" t="str">
        <f>IF(OR($E49="",$H49="",$K49&lt;=0),"",(($AX49/$AX$72)*BC49))</f>
        <v/>
      </c>
      <c r="BE49" s="1380" t="str">
        <f>IF(OR($E49="",$H49="",$K49=0),"",VLOOKUP($E49,'Data source'!$B$4:$I$111,5,FALSE))</f>
        <v/>
      </c>
      <c r="BF49" s="1377" t="str">
        <f>IF(OR($E49="",$H49="",$K49&lt;=0),"",(($AX49/$AX$72)*BE49))</f>
        <v/>
      </c>
      <c r="BG49" s="1380" t="str">
        <f>IF(OR($E49="",$H49="",$K49=0),"",VLOOKUP($E49,'Data source'!$B$4:$I$111,6,FALSE))</f>
        <v/>
      </c>
      <c r="BH49" s="1377" t="str">
        <f>IF(OR($E49="",$H49="",$K49&lt;=0),"",(($AX49/$AX$72)*BG49))</f>
        <v/>
      </c>
      <c r="BI49" s="1380" t="str">
        <f>IF(OR($E49="",$H49="",$K49=0),"",VLOOKUP($E49,'Data source'!$B$4:$I$111,7,FALSE))</f>
        <v/>
      </c>
      <c r="BJ49" s="1377" t="str">
        <f>IF(OR($E49="",$H49="",$K49&lt;=0),"",(BI49/100*BH49)*($AX49/$AX$72))</f>
        <v/>
      </c>
      <c r="BK49" s="1380" t="str">
        <f>IF(OR($E49="",$H49="",$K49=0),"",VLOOKUP($E49,'Data source'!$B$4:$I$111,8,FALSE))</f>
        <v/>
      </c>
      <c r="BL49" s="1381" t="str">
        <f>IF(OR($E49="",$H49="",$K49&lt;=0),"",(($AX49/$AX$72)*BK49))</f>
        <v/>
      </c>
      <c r="BM49" s="1242"/>
      <c r="BN49" s="1380">
        <f>IF(OR($E49="",$H49="",$K49=0),0,VLOOKUP($E49,'Data source'!$B$4:$T$111,13,FALSE))</f>
        <v>0</v>
      </c>
      <c r="BO49" s="1380">
        <f>IF(OR($E49="",$H49="",$K49=0),0,VLOOKUP($E49,'Data source'!$B$4:$T$111,14,FALSE))</f>
        <v>0</v>
      </c>
      <c r="BP49" s="1380">
        <f>IF(OR($E49="",$H49="",$K49=0),0,VLOOKUP($E49,'Data source'!$B$4:$T$111,15,FALSE))</f>
        <v>0</v>
      </c>
      <c r="BQ49" s="1380">
        <f>IF(OR($E49="",$H49="",$K49=0),0,VLOOKUP($E49,'Data source'!$B$4:$T$111,16,FALSE))</f>
        <v>0</v>
      </c>
      <c r="BR49" s="1380">
        <f>IF(OR($E49="",$H49="",$K49=0),0,VLOOKUP($E49,'Data source'!$B$4:$T$111,17,FALSE))</f>
        <v>0</v>
      </c>
      <c r="BS49" s="1380">
        <f>IF(OR($E49="",$H49="",$K49=0),0,VLOOKUP($E49,'Data source'!$B$4:$T$111,18,FALSE))</f>
        <v>0</v>
      </c>
      <c r="BT49" s="1408">
        <f>IF(OR($E49="",$H49="",$K49=0),0,VLOOKUP($E49,'Data source'!$B$4:$T$111,19,FALSE))</f>
        <v>0</v>
      </c>
      <c r="BU49" s="1385"/>
      <c r="BV49" s="1405">
        <f>IF(OR($E49="",$H49="",$K49&lt;=0),0,((43.498*$BN49)+(25.574*$BO49))-((28.206*$BP49)+(62.375*$BQ49)))*$AX49*10/1000</f>
        <v>0</v>
      </c>
      <c r="BW49" s="1242"/>
      <c r="BX49" s="1380" t="str">
        <f>IF(OR($E49="",$H49="",$K49&lt;=0,$AK49&lt;=0),"",VLOOKUP($E49,'Data source'!$B$15:$M$104,12,FALSE))</f>
        <v/>
      </c>
      <c r="BY49" s="1377" t="str">
        <f>IF(OR($E49="",$H49="",$K49&lt;=0,$AK49&lt;=0),"",IF($BX49="Dry",$AK49/$AW49/10,IF($BX49="Wet",$AK49/($AZ49/100)*$AW49/10,0)))</f>
        <v/>
      </c>
      <c r="BZ49" s="1377" t="str">
        <f>IF(OR($E49="",$H49="",$K49&lt;=0,$AK49&lt;=0,AY49=0),"",BY49/AY49)</f>
        <v/>
      </c>
      <c r="CA49" s="1407" t="str">
        <f>IF(OR($E49="",$H49="",$K49&lt;=0,$AK49&lt;=0),"",($BY49*$K49)/100)</f>
        <v/>
      </c>
      <c r="CB49" s="1388"/>
      <c r="CC49" s="44"/>
      <c r="CD49" s="94"/>
      <c r="CE49" s="94"/>
      <c r="CF49" s="44"/>
      <c r="CG49" s="914"/>
      <c r="CH49" s="7"/>
      <c r="CI49" s="129"/>
      <c r="CJ49" s="645"/>
      <c r="CK49" s="645"/>
      <c r="CL49" s="645"/>
      <c r="CM49" s="129"/>
      <c r="CN49" s="8"/>
      <c r="CO49" s="1760"/>
      <c r="CP49" s="1760"/>
      <c r="CQ49" s="8"/>
      <c r="CR49" s="1760"/>
      <c r="CS49" s="1760"/>
      <c r="CT49" s="7"/>
      <c r="CU49" s="1772"/>
      <c r="CV49" s="1772"/>
      <c r="CW49" s="1019"/>
      <c r="CX49" s="1019"/>
      <c r="CY49" s="1019"/>
      <c r="CZ49" s="1017"/>
      <c r="DA49" s="1017"/>
      <c r="DB49" s="1017"/>
      <c r="DC49" s="1017"/>
      <c r="DD49" s="1017"/>
      <c r="DE49" s="1017"/>
      <c r="DF49" s="1017"/>
      <c r="DG49" s="1017"/>
      <c r="DH49" s="1017"/>
      <c r="DI49" s="1017"/>
      <c r="DJ49" s="1017"/>
      <c r="DK49" s="1017"/>
      <c r="DL49" s="1017"/>
      <c r="DM49" s="1017"/>
      <c r="DN49" s="1017"/>
      <c r="DO49" s="1017"/>
      <c r="DP49" s="1017"/>
    </row>
    <row r="50" spans="1:120" ht="15" customHeight="1" thickBot="1">
      <c r="A50" s="75"/>
      <c r="B50" s="1662"/>
      <c r="C50" s="1664"/>
      <c r="D50" s="1813"/>
      <c r="E50" s="1667"/>
      <c r="F50" s="1668"/>
      <c r="G50" s="1304"/>
      <c r="H50" s="1667"/>
      <c r="I50" s="1668"/>
      <c r="J50" s="1676"/>
      <c r="K50" s="1672"/>
      <c r="L50" s="1132"/>
      <c r="M50" s="1670"/>
      <c r="N50" s="1485" t="str">
        <f>IF(OR($H$7="Dry", K49=""),"",IF(AND(E49="PKE",K49&gt;3),"&gt;3",""))</f>
        <v/>
      </c>
      <c r="O50" s="1682"/>
      <c r="P50" s="1271"/>
      <c r="Q50" s="1670"/>
      <c r="R50" s="1487" t="str">
        <f>IF(OR($H$7="Dry", O49=""),"",IF(AND(E49="PKE",O49&gt;3),"&gt;3",""))</f>
        <v/>
      </c>
      <c r="S50" s="1036"/>
      <c r="T50" s="1146"/>
      <c r="U50" s="1036"/>
      <c r="V50" s="1368"/>
      <c r="W50" s="1798"/>
      <c r="X50" s="1693"/>
      <c r="Y50" s="772"/>
      <c r="Z50" s="1752"/>
      <c r="AA50" s="1754"/>
      <c r="AB50" s="1755"/>
      <c r="AC50" s="1754"/>
      <c r="AD50" s="1751"/>
      <c r="AE50" s="1369"/>
      <c r="AF50" s="1289"/>
      <c r="AG50" s="105"/>
      <c r="AH50" s="1142"/>
      <c r="AI50" s="1036"/>
      <c r="AJ50" s="1109"/>
      <c r="AK50" s="1707"/>
      <c r="AL50" s="1705"/>
      <c r="AM50" s="1098"/>
      <c r="AN50" s="1703"/>
      <c r="AO50" s="1701"/>
      <c r="AP50" s="1098"/>
      <c r="AQ50" s="1703"/>
      <c r="AR50" s="1701"/>
      <c r="AS50" s="1167"/>
      <c r="AT50" s="75"/>
      <c r="AU50" s="1699"/>
      <c r="AV50" s="1188" t="str">
        <f>IF(OR(P49="",$Q$34="NO"),"",2)</f>
        <v/>
      </c>
      <c r="AW50" s="239" t="str">
        <f>IF(OR($E49="",$H49="",$O49&lt;=0,$Q$34="NO"),"",VLOOKUP($H49,'Data source'!$B$128:$C$188,2,FALSE))</f>
        <v/>
      </c>
      <c r="AX50" s="237">
        <f>IF(OR($E49="",$H49="",$O49&lt;=0,$Q$34="NO"),0,$O49*$AW50)</f>
        <v>0</v>
      </c>
      <c r="AY50" s="237" t="str">
        <f>IF(OR($E49="",$H49="",$O49&lt;=0,$Q$34="NO"),"",VLOOKUP($E49,'Data source'!$B$4:$I$111,3,FALSE))</f>
        <v/>
      </c>
      <c r="AZ50" s="237" t="str">
        <f>IF(OR($E49="",$H49="",$O49&lt;=0,$Q$34="NO"),"",VLOOKUP($E49,'Data source'!$B$4:$I$111,2,FALSE))</f>
        <v/>
      </c>
      <c r="BA50" s="238" t="str">
        <f>IF(OR($E49="",$H49="",$O49&lt;=0,$Q$34="NO"),"",$AX50*$AY50)</f>
        <v/>
      </c>
      <c r="BB50" s="1392"/>
      <c r="BC50" s="240" t="str">
        <f>IF(OR($E49="",$H49="",$O49&lt;=0,$Q$34="NO"),"",VLOOKUP($E49,'Data source'!$B$4:$I$111,4,FALSE))</f>
        <v/>
      </c>
      <c r="BD50" s="237" t="str">
        <f>IF(OR($E49="",$H49="",$O49&lt;=0,$Q$34="NO"),"",(($AX50/$AX$73)*$BC50))</f>
        <v/>
      </c>
      <c r="BE50" s="237" t="str">
        <f>IF(OR($E49="",$H49="",$O49&lt;=0,$Q$34="NO"),"",VLOOKUP($E49,'Data source'!$B$4:$I$111,5,FALSE))</f>
        <v/>
      </c>
      <c r="BF50" s="237" t="str">
        <f>IF(OR($E49="",$H49="",$O49&lt;=0,$Q$34="NO"),"",(($AX50/$AX$73)*BE50))</f>
        <v/>
      </c>
      <c r="BG50" s="237" t="str">
        <f>IF(OR($E49="",$H49="",$O49&lt;=0,$Q$34="NO"),"",VLOOKUP($E49,'Data source'!$B$4:$I$111,6,FALSE))</f>
        <v/>
      </c>
      <c r="BH50" s="237" t="str">
        <f>IF(OR($E49="",$H49="",$O49&lt;=0,$Q$34="NO"),"",(($AX50/$AX$73)*BG50))</f>
        <v/>
      </c>
      <c r="BI50" s="237" t="str">
        <f>IF(OR($E49="",$H49="",$O49&lt;=0,$Q$34="NO"),"",VLOOKUP($E49,'Data source'!$B$4:$I$111,7,FALSE))</f>
        <v/>
      </c>
      <c r="BJ50" s="237" t="str">
        <f>IF(OR($E49="",$H49="",$O49&lt;=0,$Q$34="NO"),"",(BI50/100*BH50)*($AX50/$AX$73))</f>
        <v/>
      </c>
      <c r="BK50" s="237" t="str">
        <f>IF(OR($E49="",$H49="",$O49&lt;=0,$Q$34="NO"),"",VLOOKUP($E49,'Data source'!$B$4:$I$111,8,FALSE))</f>
        <v/>
      </c>
      <c r="BL50" s="241" t="str">
        <f>IF(OR($E49="",$H49="",$O49&lt;=0,$Q$34="NO"),"",(($AX50/$AX$73)*BK50))</f>
        <v/>
      </c>
      <c r="BM50" s="1242"/>
      <c r="BN50" s="240">
        <f>IF(OR($E49="",$H49="",$O49&lt;=0,$Q$34="NO"),0,VLOOKUP($E49,'Data source'!$B$4:$T$111,13,FALSE))</f>
        <v>0</v>
      </c>
      <c r="BO50" s="237">
        <f>IF(OR($E49="",$H49="",$O49&lt;=0,$Q$34="NO"),0,VLOOKUP($E49,'Data source'!$B$4:$T$111,14,FALSE))</f>
        <v>0</v>
      </c>
      <c r="BP50" s="237">
        <f>IF(OR($E49="",$H49="",$O49&lt;=0,$Q$34="NO"),0,VLOOKUP($E49,'Data source'!$B$4:$T$111,15,FALSE))</f>
        <v>0</v>
      </c>
      <c r="BQ50" s="237">
        <f>IF(OR($E49="",$H49="",$O49&lt;=0,$Q$34="NO"),0,VLOOKUP($E49,'Data source'!$B$4:$T$111,16,FALSE))</f>
        <v>0</v>
      </c>
      <c r="BR50" s="237">
        <f>IF(OR($E49="",$H49="",$O49&lt;=0,$Q$34="NO"),0,VLOOKUP($E49,'Data source'!$B$4:$T$111,17,FALSE))</f>
        <v>0</v>
      </c>
      <c r="BS50" s="237">
        <f>IF(OR($E49="",$H49="",$O49&lt;=0,$Q$34="NO"),0,VLOOKUP($E49,'Data source'!$B$4:$T$111,18,FALSE))</f>
        <v>0</v>
      </c>
      <c r="BT50" s="241">
        <f>IF(OR($E49="",$H49="",$O49&lt;=0,$Q$34="NO"),0,VLOOKUP($E49,'Data source'!$B$4:$T$111,19,FALSE))</f>
        <v>0</v>
      </c>
      <c r="BU50" s="1385"/>
      <c r="BV50" s="982">
        <f>IF(OR($E49="",$H49="",$O49&lt;=0,$Q$34="NO"),0,((43.498*$BN50)+(25.574*$BO50))-((28.206*$BP50)+(62.375*$BQ50)))*$AX50*10/1000</f>
        <v>0</v>
      </c>
      <c r="BW50" s="1242"/>
      <c r="BX50" s="240" t="str">
        <f>IF(OR($E49="",$H49="",$O49&lt;=0,$AK49&lt;=0,$Q$34="NO"),"",VLOOKUP($E49,'Data source'!$B$15:$M$104,12,FALSE))</f>
        <v/>
      </c>
      <c r="BY50" s="237" t="str">
        <f>IF(OR($E49="",$H49="",$O49&lt;=0,$AK49&lt;=0,$Q$34="NO"),"",IF($BX50="Dry",$AK49/$AW50/10,IF($BX50="Wet",$AK49/($AZ50/100)*$AW50/10,0)))</f>
        <v/>
      </c>
      <c r="BZ50" s="237" t="str">
        <f>IF(OR($E49="",$H49="",$O49&lt;=0,$AK49&lt;=0,AY50=0,$Q$34="NO"),"",IF(OR($AS50="-",$O49=0),"",BY50/AY50))</f>
        <v/>
      </c>
      <c r="CA50" s="1000" t="str">
        <f>IF(OR($E49="",$H49="",$O49&lt;=0,$AK49&lt;=0,$Q$34="NO"),"",IF(OR($I36="-",$AS50="-",$O49=0),"",($BY50*$O49)/100))</f>
        <v/>
      </c>
      <c r="CB50" s="1388"/>
      <c r="CC50" s="44"/>
      <c r="CD50" s="94"/>
      <c r="CE50" s="94"/>
      <c r="CF50" s="44"/>
      <c r="CG50" s="914"/>
      <c r="CH50" s="7"/>
      <c r="CI50" s="129"/>
      <c r="CJ50" s="645"/>
      <c r="CK50" s="645"/>
      <c r="CL50" s="645"/>
      <c r="CM50" s="129"/>
      <c r="CN50" s="8"/>
      <c r="CO50" s="129"/>
      <c r="CP50" s="129"/>
      <c r="CQ50" s="8"/>
      <c r="CR50" s="129"/>
      <c r="CS50" s="129"/>
      <c r="CT50" s="7"/>
      <c r="CU50" s="1024"/>
      <c r="CV50" s="1024"/>
      <c r="CW50" s="1019"/>
      <c r="CX50" s="1019"/>
      <c r="CY50" s="1019"/>
      <c r="CZ50" s="1017"/>
      <c r="DA50" s="1017"/>
      <c r="DB50" s="1017"/>
      <c r="DC50" s="1017"/>
      <c r="DD50" s="1017"/>
      <c r="DE50" s="1017"/>
      <c r="DF50" s="1017"/>
      <c r="DG50" s="1017"/>
      <c r="DH50" s="1017"/>
      <c r="DI50" s="1017"/>
      <c r="DJ50" s="1017"/>
      <c r="DK50" s="1017"/>
      <c r="DL50" s="1017"/>
      <c r="DM50" s="1017"/>
      <c r="DN50" s="1017"/>
      <c r="DO50" s="1017"/>
      <c r="DP50" s="1017"/>
    </row>
    <row r="51" spans="1:120" s="7" customFormat="1" ht="9" customHeight="1" thickTop="1" thickBot="1">
      <c r="A51" s="75"/>
      <c r="B51" s="1028"/>
      <c r="C51" s="1300"/>
      <c r="D51" s="1362"/>
      <c r="E51" s="1302"/>
      <c r="F51" s="1302"/>
      <c r="G51" s="1303"/>
      <c r="H51" s="1302"/>
      <c r="I51" s="1302"/>
      <c r="J51" s="1573"/>
      <c r="K51" s="1158"/>
      <c r="L51" s="1130"/>
      <c r="M51" s="1578"/>
      <c r="N51" s="51"/>
      <c r="O51" s="1159"/>
      <c r="P51" s="1224"/>
      <c r="Q51" s="1577"/>
      <c r="R51" s="1080"/>
      <c r="S51" s="1036"/>
      <c r="T51" s="1146"/>
      <c r="U51" s="1036"/>
      <c r="V51" s="1370"/>
      <c r="W51"/>
      <c r="X51" s="8"/>
      <c r="Y51" s="8"/>
      <c r="Z51" s="8"/>
      <c r="AA51" s="8"/>
      <c r="AB51" s="8"/>
      <c r="AC51" s="8"/>
      <c r="AD51" s="8"/>
      <c r="AE51" s="1367"/>
      <c r="AF51" s="1289"/>
      <c r="AG51" s="105"/>
      <c r="AH51" s="1142"/>
      <c r="AI51" s="1036"/>
      <c r="AJ51" s="1035"/>
      <c r="AK51" s="1016"/>
      <c r="AL51" s="1155" t="str">
        <f>IF(OR($E50="-",$H50="-",$O51&lt;=0,$AK50&lt;=0,$Q$34="NO"),"",IF(OR(#REF!="-",$AS51="-",$O51=0),"",($BY51*$O51)/100))</f>
        <v/>
      </c>
      <c r="AM51" s="1071"/>
      <c r="AN51" s="1151"/>
      <c r="AO51" s="1152"/>
      <c r="AP51" s="1071"/>
      <c r="AQ51" s="1198"/>
      <c r="AR51" s="1154"/>
      <c r="AS51" s="1167"/>
      <c r="AT51" s="75"/>
      <c r="AU51" s="1382"/>
      <c r="AV51" s="1383"/>
      <c r="AW51" s="1389"/>
      <c r="AX51" s="1390"/>
      <c r="AY51" s="1390"/>
      <c r="AZ51" s="1390"/>
      <c r="BA51" s="1391"/>
      <c r="BB51" s="1392"/>
      <c r="BC51" s="1392"/>
      <c r="BD51" s="1392"/>
      <c r="BE51" s="1392"/>
      <c r="BF51" s="1392"/>
      <c r="BG51" s="1392"/>
      <c r="BH51" s="1392"/>
      <c r="BI51" s="1392"/>
      <c r="BJ51" s="1392"/>
      <c r="BK51" s="1392"/>
      <c r="BL51" s="1392"/>
      <c r="BM51" s="1392"/>
      <c r="BN51" s="1393"/>
      <c r="BO51" s="1393"/>
      <c r="BP51" s="1393"/>
      <c r="BQ51" s="1393"/>
      <c r="BR51" s="1393"/>
      <c r="BS51" s="1393"/>
      <c r="BT51" s="1393"/>
      <c r="BU51" s="1385"/>
      <c r="BV51" s="1386"/>
      <c r="BW51" s="1393"/>
      <c r="BX51" s="1392"/>
      <c r="BY51" s="1392"/>
      <c r="BZ51" s="1392"/>
      <c r="CA51" s="1394"/>
      <c r="CB51" s="1388"/>
      <c r="CC51" s="44"/>
      <c r="CD51" s="94"/>
      <c r="CE51" s="94"/>
      <c r="CF51" s="44"/>
      <c r="CG51" s="44"/>
      <c r="CJ51" s="645"/>
      <c r="CK51" s="645"/>
      <c r="CL51" s="645"/>
      <c r="CM51" s="8"/>
      <c r="CN51" s="8"/>
      <c r="CQ51" s="8"/>
      <c r="CR51" s="8"/>
      <c r="CU51" s="1023"/>
      <c r="CV51" s="1019"/>
      <c r="CW51" s="1019"/>
      <c r="CX51" s="1019"/>
      <c r="CY51" s="1019"/>
      <c r="CZ51" s="1019"/>
      <c r="DA51" s="1019"/>
      <c r="DB51" s="1019"/>
      <c r="DC51" s="1019"/>
      <c r="DD51" s="1019"/>
      <c r="DE51" s="1019"/>
      <c r="DF51" s="1019"/>
      <c r="DG51" s="1019"/>
      <c r="DH51" s="1019"/>
      <c r="DI51" s="1019"/>
      <c r="DJ51" s="1019"/>
      <c r="DK51" s="1019"/>
      <c r="DL51" s="1019"/>
      <c r="DM51" s="1019"/>
      <c r="DN51" s="1019"/>
      <c r="DO51" s="1019"/>
      <c r="DP51" s="1019"/>
    </row>
    <row r="52" spans="1:120" ht="15" customHeight="1" thickTop="1">
      <c r="A52" s="75"/>
      <c r="B52" s="1662"/>
      <c r="C52" s="1679"/>
      <c r="D52" s="1813" t="str">
        <f>IF(C52="Minerals","i","")</f>
        <v/>
      </c>
      <c r="E52" s="1665"/>
      <c r="F52" s="1666"/>
      <c r="H52" s="1773"/>
      <c r="I52" s="1774"/>
      <c r="J52" s="1675" t="str">
        <f>IF(OR($C52="",$E52="",$H52=""),"",VLOOKUP($H52,'Data source'!$B$128:$C$188,2,FALSE))</f>
        <v/>
      </c>
      <c r="K52" s="1671"/>
      <c r="L52" s="882" t="str">
        <f>IF(OR(C52="",E52="",H52=""),"",K52)</f>
        <v/>
      </c>
      <c r="M52" s="1669" t="str">
        <f>IF(AX52=0,"",AX52)</f>
        <v/>
      </c>
      <c r="N52" s="51"/>
      <c r="O52" s="1681"/>
      <c r="P52" s="882" t="str">
        <f>IF(OR(C52="",E52="",H52=""),"",O52)</f>
        <v/>
      </c>
      <c r="Q52" s="1669" t="str">
        <f>IF(AX53=0,"",AX53)</f>
        <v/>
      </c>
      <c r="R52" s="1486" t="str">
        <f>IF(OR(N53="&gt;3",R53="&gt;3"),"i","")</f>
        <v/>
      </c>
      <c r="S52" s="1036"/>
      <c r="T52" s="1146"/>
      <c r="U52" s="1036"/>
      <c r="V52" s="1366"/>
      <c r="W52" s="1696" t="s">
        <v>13</v>
      </c>
      <c r="X52" s="1692" t="str">
        <f>IF(Y12="No","","&lt;38")</f>
        <v/>
      </c>
      <c r="Y52" s="772"/>
      <c r="Z52" s="1750"/>
      <c r="AA52" s="1753" t="str">
        <f>IF($K$71&gt;0,BH72,"")</f>
        <v/>
      </c>
      <c r="AB52" s="1747" t="str">
        <f>IF(OR(X52="",AA52=""),"",IF(AA52&gt;=38/0.9,"i",""))</f>
        <v/>
      </c>
      <c r="AC52" s="1753" t="str">
        <f>IF(AND($Q$34="YES",$O$71&gt;0),BH73,"")</f>
        <v/>
      </c>
      <c r="AD52" s="1751" t="str">
        <f>IF(OR(X52="",AC52=""),"",IF(AC52&gt;=38/0.9,"i",""))</f>
        <v/>
      </c>
      <c r="AE52" s="1371"/>
      <c r="AF52" s="1286" t="str">
        <f>IF($C52="Hay_Silage","FT1_",IF($C52="Concentrates","FT2_",IF($C52="By_products","FT3_",IF($C52="Fodder_beet_Default","FT4_",IF($C52="Other_Crops_Default","FT5_",IF($C52="Minerals","FT6_",IF($C52="Custom_Feeds_Minerals","FT7_",IF($C52="Custom_Bulb_Crops","FT8_","-"))))))))</f>
        <v>-</v>
      </c>
      <c r="AG52" s="105"/>
      <c r="AH52" s="1142"/>
      <c r="AI52" s="1036"/>
      <c r="AJ52" s="1109"/>
      <c r="AK52" s="1706"/>
      <c r="AL52" s="1704" t="str">
        <f>IF(OR($E52="",$H52=""),"",IF(AY52="",IF(AY53&gt;0,BZ53,0),BZ52))</f>
        <v/>
      </c>
      <c r="AM52" s="1098"/>
      <c r="AN52" s="1702" t="str">
        <f>IF(OR($E52="",$H52="",$K52="",$O$6=""),"",($K52/1000)*$O$6)</f>
        <v/>
      </c>
      <c r="AO52" s="1700" t="str">
        <f>CA52</f>
        <v/>
      </c>
      <c r="AP52" s="1098"/>
      <c r="AQ52" s="1702" t="str">
        <f>IF(OR($E52="",$H52="",$O52="",$O$6=""),"",($O52/1000)*$O$6)</f>
        <v/>
      </c>
      <c r="AR52" s="1700" t="str">
        <f>CA53</f>
        <v/>
      </c>
      <c r="AS52" s="1167"/>
      <c r="AT52" s="75"/>
      <c r="AU52" s="1698" t="str">
        <f>IF(E52="","",E52)</f>
        <v/>
      </c>
      <c r="AV52" s="1187" t="str">
        <f>IF(L52="","",1)</f>
        <v/>
      </c>
      <c r="AW52" s="1379" t="str">
        <f>IF(OR($E52="",$H52="",$K52&lt;=0),"",VLOOKUP($H52,'Data source'!$B$128:$C$188,2,FALSE))</f>
        <v/>
      </c>
      <c r="AX52" s="434">
        <f>IF(OR($E52="",$H52="",$K52&lt;=0),0,K52*AW52)</f>
        <v>0</v>
      </c>
      <c r="AY52" s="1380" t="str">
        <f>IF(OR($E52="",$H52="",$K52=0),"",VLOOKUP($E52,'Data source'!$B$4:$I$111,3,FALSE))</f>
        <v/>
      </c>
      <c r="AZ52" s="1380" t="str">
        <f>IF(OR($E52="",$H52="",$K52=0),"",VLOOKUP($E52,'Data source'!$B$4:$I$111,2,FALSE))</f>
        <v/>
      </c>
      <c r="BA52" s="1378" t="str">
        <f>IF(OR($E52="",$H52="",$K52&lt;=0),"",AX52*AY52)</f>
        <v/>
      </c>
      <c r="BB52" s="1392"/>
      <c r="BC52" s="1380" t="str">
        <f>IF(OR($E52="",$H52="",$K52=0),"",VLOOKUP($E52,'Data source'!$B$4:$I$111,4,FALSE))</f>
        <v/>
      </c>
      <c r="BD52" s="1377" t="str">
        <f>IF(OR($E52="",$H52="",$K52&lt;=0),"",(($AX52/$AX$72)*BC52))</f>
        <v/>
      </c>
      <c r="BE52" s="1380" t="str">
        <f>IF(OR($E52="",$H52="",$K52=0),"",VLOOKUP($E52,'Data source'!$B$4:$I$111,5,FALSE))</f>
        <v/>
      </c>
      <c r="BF52" s="1377" t="str">
        <f>IF(OR($E52="",$H52="",$K52&lt;=0),"",(($AX52/$AX$72)*BE52))</f>
        <v/>
      </c>
      <c r="BG52" s="1380" t="str">
        <f>IF(OR($E52="",$H52="",$K52=0),"",VLOOKUP($E52,'Data source'!$B$4:$I$111,6,FALSE))</f>
        <v/>
      </c>
      <c r="BH52" s="1377" t="str">
        <f>IF(OR($E52="",$H52="",$K52&lt;=0),"",(($AX52/$AX$72)*BG52))</f>
        <v/>
      </c>
      <c r="BI52" s="1380" t="str">
        <f>IF(OR($E52="",$H52="",$K52=0),"",VLOOKUP($E52,'Data source'!$B$4:$I$111,7,FALSE))</f>
        <v/>
      </c>
      <c r="BJ52" s="1377" t="str">
        <f>IF(OR($E52="",$H52="",$K52&lt;=0),"",(BI52/100*BH52)*($AX52/$AX$72))</f>
        <v/>
      </c>
      <c r="BK52" s="1380" t="str">
        <f>IF(OR($E52="",$H52="",$K52=0),"",VLOOKUP($E52,'Data source'!$B$4:$I$111,8,FALSE))</f>
        <v/>
      </c>
      <c r="BL52" s="1381" t="str">
        <f>IF(OR($E52="",$H52="",$K52&lt;=0),"",(($AX52/$AX$72)*BK52))</f>
        <v/>
      </c>
      <c r="BM52" s="1242"/>
      <c r="BN52" s="1380">
        <f>IF(OR($E52="",$H52="",$K52=0),0,VLOOKUP($E52,'Data source'!$B$4:$T$111,13,FALSE))</f>
        <v>0</v>
      </c>
      <c r="BO52" s="1380">
        <f>IF(OR($E52="",$H52="",$K52=0),0,VLOOKUP($E52,'Data source'!$B$4:$T$111,14,FALSE))</f>
        <v>0</v>
      </c>
      <c r="BP52" s="1380">
        <f>IF(OR($E52="",$H52="",$K52=0),0,VLOOKUP($E52,'Data source'!$B$4:$T$111,15,FALSE))</f>
        <v>0</v>
      </c>
      <c r="BQ52" s="1380">
        <f>IF(OR($E52="",$H52="",$K52=0),0,VLOOKUP($E52,'Data source'!$B$4:$T$111,16,FALSE))</f>
        <v>0</v>
      </c>
      <c r="BR52" s="1380">
        <f>IF(OR($E52="",$H52="",$K52=0),0,VLOOKUP($E52,'Data source'!$B$4:$T$111,17,FALSE))</f>
        <v>0</v>
      </c>
      <c r="BS52" s="1380">
        <f>IF(OR($E52="",$H52="",$K52=0),0,VLOOKUP($E52,'Data source'!$B$4:$T$111,18,FALSE))</f>
        <v>0</v>
      </c>
      <c r="BT52" s="1408">
        <f>IF(OR($E52="",$H52="",$K52=0),0,VLOOKUP($E52,'Data source'!$B$4:$T$111,19,FALSE))</f>
        <v>0</v>
      </c>
      <c r="BU52" s="1385"/>
      <c r="BV52" s="1405">
        <f>IF(OR($E52="",$H52="",$K52&lt;=0),0,((43.498*$BN52)+(25.574*$BO52))-((28.206*$BP52)+(62.375*$BQ52)))*$AX52*10/1000</f>
        <v>0</v>
      </c>
      <c r="BW52" s="1242"/>
      <c r="BX52" s="1380" t="str">
        <f>IF(OR($E52="",$H52="",$K52&lt;=0,$AK52&lt;=0),"",VLOOKUP($E52,'Data source'!$B$15:$M$104,12,FALSE))</f>
        <v/>
      </c>
      <c r="BY52" s="1377" t="str">
        <f>IF(OR($E52="",$H52="",$K52&lt;=0,$AK52&lt;=0),"",IF($BX52="Dry",$AK52/$AW52/10,IF($BX52="Wet",$AK52/($AZ52/100)*$AW52/10,0)))</f>
        <v/>
      </c>
      <c r="BZ52" s="1377" t="str">
        <f>IF(OR($E52="",$H52="",$K52&lt;=0,$AK52&lt;=0,AY52=0),"",BY52/AY52)</f>
        <v/>
      </c>
      <c r="CA52" s="1407" t="str">
        <f>IF(OR($E52="",$H52="",$K52&lt;=0,$AK52&lt;=0),"",($BY52*$K52)/100)</f>
        <v/>
      </c>
      <c r="CB52" s="1388"/>
      <c r="CC52" s="44"/>
      <c r="CD52" s="94"/>
      <c r="CE52" s="94"/>
      <c r="CF52" s="44"/>
      <c r="CG52" s="914"/>
      <c r="CH52" s="7"/>
      <c r="CI52" s="129"/>
      <c r="CJ52" s="645"/>
      <c r="CK52" s="645"/>
      <c r="CL52" s="645"/>
      <c r="CM52" s="129"/>
      <c r="CN52" s="8"/>
      <c r="CO52" s="1760"/>
      <c r="CP52" s="1760"/>
      <c r="CQ52" s="8"/>
      <c r="CR52" s="1760"/>
      <c r="CS52" s="1760"/>
      <c r="CT52" s="7"/>
      <c r="CU52" s="1772"/>
      <c r="CV52" s="1772"/>
      <c r="CW52" s="1019"/>
      <c r="CX52" s="1019"/>
      <c r="CY52" s="1019"/>
      <c r="CZ52" s="1017"/>
      <c r="DA52" s="1017"/>
      <c r="DB52" s="1017"/>
      <c r="DC52" s="1017"/>
      <c r="DD52" s="1017"/>
      <c r="DE52" s="1017"/>
      <c r="DF52" s="1017"/>
      <c r="DG52" s="1017"/>
      <c r="DH52" s="1017"/>
      <c r="DI52" s="1017"/>
      <c r="DJ52" s="1017"/>
      <c r="DK52" s="1017"/>
      <c r="DL52" s="1017"/>
      <c r="DM52" s="1017"/>
      <c r="DN52" s="1017"/>
      <c r="DO52" s="1017"/>
      <c r="DP52" s="1017"/>
    </row>
    <row r="53" spans="1:120" ht="15" customHeight="1" thickBot="1">
      <c r="A53" s="75"/>
      <c r="B53" s="1662"/>
      <c r="C53" s="1680"/>
      <c r="D53" s="1813"/>
      <c r="E53" s="1667"/>
      <c r="F53" s="1668"/>
      <c r="G53" s="1304"/>
      <c r="H53" s="1775"/>
      <c r="I53" s="1776"/>
      <c r="J53" s="1676"/>
      <c r="K53" s="1672"/>
      <c r="L53" s="1132"/>
      <c r="M53" s="1670"/>
      <c r="N53" s="1485" t="str">
        <f>IF(OR($H$7="Dry", K52=""),"",IF(AND(E52="PKE",K52&gt;3),"&gt;3",""))</f>
        <v/>
      </c>
      <c r="O53" s="1682"/>
      <c r="P53" s="1271"/>
      <c r="Q53" s="1670"/>
      <c r="R53" s="1487" t="str">
        <f>IF(OR($H$7="Dry", O52=""),"",IF(AND(E52="PKE",O52&gt;3),"&gt;3",""))</f>
        <v/>
      </c>
      <c r="S53" s="1036"/>
      <c r="T53" s="1146"/>
      <c r="U53" s="1036"/>
      <c r="V53" s="1368"/>
      <c r="W53" s="1697"/>
      <c r="X53" s="1693"/>
      <c r="Y53" s="772"/>
      <c r="Z53" s="1750"/>
      <c r="AA53" s="1754"/>
      <c r="AB53" s="1747"/>
      <c r="AC53" s="1754"/>
      <c r="AD53" s="1751"/>
      <c r="AE53" s="1371"/>
      <c r="AF53" s="1289"/>
      <c r="AG53" s="105"/>
      <c r="AH53" s="1142"/>
      <c r="AI53" s="1036"/>
      <c r="AJ53" s="1109"/>
      <c r="AK53" s="1707"/>
      <c r="AL53" s="1705"/>
      <c r="AM53" s="1098"/>
      <c r="AN53" s="1703"/>
      <c r="AO53" s="1701"/>
      <c r="AP53" s="1098"/>
      <c r="AQ53" s="1703"/>
      <c r="AR53" s="1701"/>
      <c r="AS53" s="1167"/>
      <c r="AT53" s="75"/>
      <c r="AU53" s="1699"/>
      <c r="AV53" s="1188" t="str">
        <f>IF(OR(P52="",$Q$34="NO"),"",2)</f>
        <v/>
      </c>
      <c r="AW53" s="239" t="str">
        <f>IF(OR($E52="",$H52="",$O52&lt;=0,$Q$34="NO"),"",VLOOKUP($H52,'Data source'!$B$128:$C$188,2,FALSE))</f>
        <v/>
      </c>
      <c r="AX53" s="237">
        <f>IF(OR($E52="",$H52="",$O52&lt;=0,$Q$34="NO"),0,$O52*$AW53)</f>
        <v>0</v>
      </c>
      <c r="AY53" s="237" t="str">
        <f>IF(OR($E52="",$H52="",$O52&lt;=0,$Q$34="NO"),"",VLOOKUP($E52,'Data source'!$B$4:$I$111,3,FALSE))</f>
        <v/>
      </c>
      <c r="AZ53" s="237" t="str">
        <f>IF(OR($E52="",$H52="",$O52&lt;=0,$Q$34="NO"),"",VLOOKUP($E52,'Data source'!$B$4:$I$111,2,FALSE))</f>
        <v/>
      </c>
      <c r="BA53" s="238" t="str">
        <f>IF(OR($E52="",$H52="",$O52&lt;=0,$Q$34="NO"),"",$AX53*$AY53)</f>
        <v/>
      </c>
      <c r="BB53" s="1392"/>
      <c r="BC53" s="240" t="str">
        <f>IF(OR($E52="",$H52="",$O52&lt;=0,$Q$34="NO"),"",VLOOKUP($E52,'Data source'!$B$4:$I$111,4,FALSE))</f>
        <v/>
      </c>
      <c r="BD53" s="237" t="str">
        <f>IF(OR($E52="",$H52="",$O52&lt;=0,$Q$34="NO"),"",(($AX53/$AX$73)*$BC53))</f>
        <v/>
      </c>
      <c r="BE53" s="237" t="str">
        <f>IF(OR($E52="",$H52="",$O52&lt;=0,$Q$34="NO"),"",VLOOKUP($E52,'Data source'!$B$4:$I$111,5,FALSE))</f>
        <v/>
      </c>
      <c r="BF53" s="237" t="str">
        <f>IF(OR($E52="",$H52="",$O52&lt;=0,$Q$34="NO"),"",(($AX53/$AX$73)*BE53))</f>
        <v/>
      </c>
      <c r="BG53" s="237" t="str">
        <f>IF(OR($E52="",$H52="",$O52&lt;=0,$Q$34="NO"),"",VLOOKUP($E52,'Data source'!$B$4:$I$111,6,FALSE))</f>
        <v/>
      </c>
      <c r="BH53" s="237" t="str">
        <f>IF(OR($E52="",$H52="",$O52&lt;=0,$Q$34="NO"),"",(($AX53/$AX$73)*BG53))</f>
        <v/>
      </c>
      <c r="BI53" s="237" t="str">
        <f>IF(OR($E52="",$H52="",$O52&lt;=0,$Q$34="NO"),"",VLOOKUP($E52,'Data source'!$B$4:$I$111,7,FALSE))</f>
        <v/>
      </c>
      <c r="BJ53" s="237" t="str">
        <f>IF(OR($E52="",$H52="",$O52&lt;=0,$Q$34="NO"),"",(BI53/100*BH53)*($AX53/$AX$73))</f>
        <v/>
      </c>
      <c r="BK53" s="237" t="str">
        <f>IF(OR($E52="",$H52="",$O52&lt;=0,$Q$34="NO"),"",VLOOKUP($E52,'Data source'!$B$4:$I$111,8,FALSE))</f>
        <v/>
      </c>
      <c r="BL53" s="241" t="str">
        <f>IF(OR($E52="",$H52="",$O52&lt;=0,$Q$34="NO"),"",(($AX53/$AX$73)*BK53))</f>
        <v/>
      </c>
      <c r="BM53" s="1242"/>
      <c r="BN53" s="240">
        <f>IF(OR($E52="",$H52="",$O52&lt;=0,$Q$34="NO"),0,VLOOKUP($E52,'Data source'!$B$4:$T$111,13,FALSE))</f>
        <v>0</v>
      </c>
      <c r="BO53" s="237">
        <f>IF(OR($E52="",$H52="",$O52&lt;=0,$Q$34="NO"),0,VLOOKUP($E52,'Data source'!$B$4:$T$111,14,FALSE))</f>
        <v>0</v>
      </c>
      <c r="BP53" s="237">
        <f>IF(OR($E52="",$H52="",$O52&lt;=0,$Q$34="NO"),0,VLOOKUP($E52,'Data source'!$B$4:$T$111,15,FALSE))</f>
        <v>0</v>
      </c>
      <c r="BQ53" s="237">
        <f>IF(OR($E52="",$H52="",$O52&lt;=0,$Q$34="NO"),0,VLOOKUP($E52,'Data source'!$B$4:$T$111,16,FALSE))</f>
        <v>0</v>
      </c>
      <c r="BR53" s="237">
        <f>IF(OR($E52="",$H52="",$O52&lt;=0,$Q$34="NO"),0,VLOOKUP($E52,'Data source'!$B$4:$T$111,17,FALSE))</f>
        <v>0</v>
      </c>
      <c r="BS53" s="237">
        <f>IF(OR($E52="",$H52="",$O52&lt;=0,$Q$34="NO"),0,VLOOKUP($E52,'Data source'!$B$4:$T$111,18,FALSE))</f>
        <v>0</v>
      </c>
      <c r="BT53" s="241">
        <f>IF(OR($E52="",$H52="",$O52&lt;=0,$Q$34="NO"),0,VLOOKUP($E52,'Data source'!$B$4:$T$111,19,FALSE))</f>
        <v>0</v>
      </c>
      <c r="BU53" s="1385"/>
      <c r="BV53" s="982">
        <f>IF(OR($E52="",$H52="",$O52&lt;=0,$Q$34="NO"),0,((43.498*$BN53)+(25.574*$BO53))-((28.206*$BP53)+(62.375*$BQ53)))*$AX53*10/1000</f>
        <v>0</v>
      </c>
      <c r="BW53" s="1242"/>
      <c r="BX53" s="240" t="str">
        <f>IF(OR($E52="",$H52="",$O52&lt;=0,$AK52&lt;=0,$Q$34="NO"),"",VLOOKUP($E52,'Data source'!$B$15:$M$104,12,FALSE))</f>
        <v/>
      </c>
      <c r="BY53" s="237" t="str">
        <f>IF(OR($E52="",$H52="",$O52&lt;=0,$AK52&lt;=0,$Q$34="NO"),"",IF($BX53="Dry",$AK52/$AW53/10,IF($BX53="Wet",$AK52/($AZ53/100)*$AW53/10,0)))</f>
        <v/>
      </c>
      <c r="BZ53" s="237" t="str">
        <f>IF(OR($E52="",$H52="",$O52&lt;=0,$AK52&lt;=0,AY53=0,$Q$34="NO"),"",IF(OR($AS53="-",$O52=0),"",BY53/AY53))</f>
        <v/>
      </c>
      <c r="CA53" s="1000" t="str">
        <f>IF(OR($E52="",$H52="",$O52&lt;=0,$AK52&lt;=0,$Q$34="NO"),"",IF(OR($I40="-",$AS53="-",$O52=0),"",($BY53*$O52)/100))</f>
        <v/>
      </c>
      <c r="CB53" s="1388"/>
      <c r="CC53" s="44"/>
      <c r="CD53" s="94"/>
      <c r="CE53" s="94"/>
      <c r="CF53" s="44"/>
      <c r="CG53" s="914"/>
      <c r="CH53" s="7"/>
      <c r="CI53" s="129"/>
      <c r="CJ53" s="645"/>
      <c r="CK53" s="645"/>
      <c r="CL53" s="645"/>
      <c r="CM53" s="129"/>
      <c r="CN53" s="8"/>
      <c r="CO53" s="129"/>
      <c r="CP53" s="129"/>
      <c r="CQ53" s="8"/>
      <c r="CR53" s="129"/>
      <c r="CS53" s="129"/>
      <c r="CT53" s="7"/>
      <c r="CU53" s="1024"/>
      <c r="CV53" s="1024"/>
      <c r="CW53" s="1019"/>
      <c r="CX53" s="1019"/>
      <c r="CY53" s="1019"/>
      <c r="CZ53" s="1017"/>
      <c r="DA53" s="1017"/>
      <c r="DB53" s="1017"/>
      <c r="DC53" s="1017"/>
      <c r="DD53" s="1017"/>
      <c r="DE53" s="1017"/>
      <c r="DF53" s="1017"/>
      <c r="DG53" s="1017"/>
      <c r="DH53" s="1017"/>
      <c r="DI53" s="1017"/>
      <c r="DJ53" s="1017"/>
      <c r="DK53" s="1017"/>
      <c r="DL53" s="1017"/>
      <c r="DM53" s="1017"/>
      <c r="DN53" s="1017"/>
      <c r="DO53" s="1017"/>
      <c r="DP53" s="1017"/>
    </row>
    <row r="54" spans="1:120" ht="8.25" customHeight="1" thickTop="1" thickBot="1">
      <c r="A54" s="75"/>
      <c r="B54" s="1079"/>
      <c r="C54" s="1305"/>
      <c r="D54" s="1306"/>
      <c r="E54" s="1306"/>
      <c r="F54" s="1306"/>
      <c r="G54" s="1307"/>
      <c r="H54" s="1306"/>
      <c r="I54" s="1306"/>
      <c r="J54" s="1574"/>
      <c r="K54" s="1159"/>
      <c r="L54" s="1224"/>
      <c r="M54" s="1578"/>
      <c r="N54" s="51"/>
      <c r="O54" s="1163"/>
      <c r="P54" s="1131"/>
      <c r="Q54" s="1577"/>
      <c r="R54" s="1080"/>
      <c r="S54" s="1036"/>
      <c r="T54" s="1146"/>
      <c r="U54" s="1036"/>
      <c r="V54" s="1368"/>
      <c r="AD54" s="1149"/>
      <c r="AE54" s="1371"/>
      <c r="AF54" s="1289"/>
      <c r="AG54" s="105"/>
      <c r="AH54" s="1142"/>
      <c r="AI54" s="1036"/>
      <c r="AJ54" s="1109"/>
      <c r="AK54" s="1016"/>
      <c r="AL54" s="1155" t="str">
        <f>IF(OR($E53="-",$H53="-",$O54&lt;=0,$AK53&lt;=0,$Q$34="NO"),"",IF(OR(#REF!="-",$AS54="-",$O54=0),"",($BY54*$O54)/100))</f>
        <v/>
      </c>
      <c r="AM54" s="1071"/>
      <c r="AN54" s="1153"/>
      <c r="AO54" s="1152"/>
      <c r="AP54" s="1071"/>
      <c r="AQ54" s="1199"/>
      <c r="AR54" s="1154"/>
      <c r="AS54" s="1167"/>
      <c r="AT54" s="75"/>
      <c r="AU54" s="1400"/>
      <c r="AV54" s="1383"/>
      <c r="AW54" s="1389"/>
      <c r="AX54" s="1390"/>
      <c r="AY54" s="1390"/>
      <c r="AZ54" s="1390"/>
      <c r="BA54" s="1391"/>
      <c r="BB54" s="1392"/>
      <c r="BC54" s="1392"/>
      <c r="BD54" s="1392"/>
      <c r="BE54" s="1392"/>
      <c r="BF54" s="1392"/>
      <c r="BG54" s="1392"/>
      <c r="BH54" s="1392"/>
      <c r="BI54" s="1392"/>
      <c r="BJ54" s="1392"/>
      <c r="BK54" s="1392"/>
      <c r="BL54" s="1392"/>
      <c r="BM54" s="1392"/>
      <c r="BN54" s="1392"/>
      <c r="BO54" s="1392"/>
      <c r="BP54" s="1392"/>
      <c r="BQ54" s="1392"/>
      <c r="BR54" s="1392"/>
      <c r="BS54" s="1392"/>
      <c r="BT54" s="1392"/>
      <c r="BU54" s="1385"/>
      <c r="BV54" s="1385"/>
      <c r="BW54" s="1242"/>
      <c r="BX54" s="1392"/>
      <c r="BY54" s="1392"/>
      <c r="BZ54" s="1392"/>
      <c r="CA54" s="1392"/>
      <c r="CB54" s="1388"/>
      <c r="CC54" s="44"/>
      <c r="CD54" s="94"/>
      <c r="CE54" s="94"/>
      <c r="CF54" s="44"/>
      <c r="CG54" s="914"/>
      <c r="CH54" s="7"/>
      <c r="CI54" s="129"/>
      <c r="CJ54" s="645"/>
      <c r="CK54" s="645"/>
      <c r="CL54" s="645"/>
      <c r="CM54" s="129"/>
      <c r="CN54" s="8"/>
      <c r="CO54" s="129"/>
      <c r="CP54" s="129"/>
      <c r="CQ54" s="8"/>
      <c r="CR54" s="129"/>
      <c r="CS54" s="129"/>
      <c r="CT54" s="7"/>
      <c r="CU54" s="1024"/>
      <c r="CV54" s="1024"/>
      <c r="CW54" s="1019"/>
      <c r="CX54" s="1019"/>
      <c r="CY54" s="1019"/>
      <c r="CZ54" s="1017"/>
      <c r="DA54" s="1017"/>
      <c r="DB54" s="1017"/>
      <c r="DC54" s="1017"/>
      <c r="DD54" s="1017"/>
      <c r="DE54" s="1017"/>
      <c r="DF54" s="1017"/>
      <c r="DG54" s="1017"/>
      <c r="DH54" s="1017"/>
      <c r="DI54" s="1017"/>
      <c r="DJ54" s="1017"/>
      <c r="DK54" s="1017"/>
      <c r="DL54" s="1017"/>
      <c r="DM54" s="1017"/>
      <c r="DN54" s="1017"/>
      <c r="DO54" s="1017"/>
      <c r="DP54" s="1017"/>
    </row>
    <row r="55" spans="1:120" ht="15" customHeight="1" thickTop="1">
      <c r="A55" s="75"/>
      <c r="B55" s="1662"/>
      <c r="C55" s="1663"/>
      <c r="D55" s="1813" t="str">
        <f>IF(C55="Minerals","i","")</f>
        <v/>
      </c>
      <c r="E55" s="1665"/>
      <c r="F55" s="1666"/>
      <c r="H55" s="1665"/>
      <c r="I55" s="1666"/>
      <c r="J55" s="1675" t="str">
        <f>IF(OR($C55="",$E55="",$H55=""),"",VLOOKUP($H55,'Data source'!$B$128:$C$188,2,FALSE))</f>
        <v/>
      </c>
      <c r="K55" s="1671"/>
      <c r="L55" s="882" t="str">
        <f>IF(OR(C55="",E55="",H55=""),"",K55)</f>
        <v/>
      </c>
      <c r="M55" s="1845" t="str">
        <f>IF(AX55=0,"",AX55)</f>
        <v/>
      </c>
      <c r="N55" s="51"/>
      <c r="O55" s="1681"/>
      <c r="P55" s="882" t="str">
        <f>IF(OR(C55="",E55="",H55=""),"",O55)</f>
        <v/>
      </c>
      <c r="Q55" s="1669" t="str">
        <f>IF(AX56=0,"",AX56)</f>
        <v/>
      </c>
      <c r="R55" s="1486" t="str">
        <f>IF(OR(N56="&gt;3",R56="&gt;3"),"i","")</f>
        <v/>
      </c>
      <c r="S55" s="1036"/>
      <c r="T55" s="1146"/>
      <c r="U55" s="1036"/>
      <c r="V55" s="1368"/>
      <c r="W55" s="1696" t="s">
        <v>143</v>
      </c>
      <c r="X55" s="1692" t="str">
        <f>IF(Y12="No","","&lt;30")</f>
        <v/>
      </c>
      <c r="Y55" s="772"/>
      <c r="Z55" s="1750"/>
      <c r="AA55" s="1758" t="str">
        <f>IF($K$71&gt;0,BJ72,"")</f>
        <v/>
      </c>
      <c r="AB55" s="1747" t="str">
        <f>IF(OR(X55="",AA55=""),"",IF(AA55&gt;=30/0.9,"i",""))</f>
        <v/>
      </c>
      <c r="AC55" s="1756" t="str">
        <f>IF(AND($Q$34="YES",$O$71&gt;0),BJ73,"")</f>
        <v/>
      </c>
      <c r="AD55" s="1751" t="str">
        <f>IF(OR(X55="",AC55=""),"",IF(AC55&gt;=30/0.9,"i",""))</f>
        <v/>
      </c>
      <c r="AE55" s="1371"/>
      <c r="AF55" s="1286" t="str">
        <f>IF($C55="Hay_Silage","FT1_",IF($C55="Concentrates","FT2_",IF($C55="By_products","FT3_",IF($C55="Fodder_beet_Default","FT4_",IF($C55="Other_Crops_Default","FT5_",IF($C55="Minerals","FT6_",IF($C55="Custom_Feeds_Minerals","FT7_",IF($C55="Custom_Bulb_Crops","FT8_","-"))))))))</f>
        <v>-</v>
      </c>
      <c r="AG55" s="105"/>
      <c r="AH55" s="1142"/>
      <c r="AI55" s="1036"/>
      <c r="AJ55" s="1109"/>
      <c r="AK55" s="1706"/>
      <c r="AL55" s="1704" t="str">
        <f>IF(OR($E55="",$H55=""),"",IF(AY55="",IF(AY56&gt;0,BZ56,0),BZ55))</f>
        <v/>
      </c>
      <c r="AM55" s="1098"/>
      <c r="AN55" s="1702" t="str">
        <f>IF(OR($E55="",$H55="",$K55="",$O$6=""),"",($K55/1000)*$O$6)</f>
        <v/>
      </c>
      <c r="AO55" s="1700" t="str">
        <f>CA55</f>
        <v/>
      </c>
      <c r="AP55" s="1098"/>
      <c r="AQ55" s="1702" t="str">
        <f>IF(OR($E55="",$H55="",$O55="",$O$6=""),"",($O55/1000)*$O$6)</f>
        <v/>
      </c>
      <c r="AR55" s="1700" t="str">
        <f>CA56</f>
        <v/>
      </c>
      <c r="AS55" s="1167"/>
      <c r="AT55" s="75"/>
      <c r="AU55" s="1698" t="str">
        <f>IF(E55="","",E55)</f>
        <v/>
      </c>
      <c r="AV55" s="1187" t="str">
        <f>IF(L55="","",1)</f>
        <v/>
      </c>
      <c r="AW55" s="1379" t="str">
        <f>IF(OR($E55="",$H55="",$K55&lt;=0),"",VLOOKUP($H55,'Data source'!$B$128:$C$188,2,FALSE))</f>
        <v/>
      </c>
      <c r="AX55" s="434">
        <f>IF(OR($E55="",$H55="",$K55&lt;=0),0,K55*AW55)</f>
        <v>0</v>
      </c>
      <c r="AY55" s="1380" t="str">
        <f>IF(OR($E55="",$H55="",$K55=0),"",VLOOKUP($E55,'Data source'!$B$4:$I$111,3,FALSE))</f>
        <v/>
      </c>
      <c r="AZ55" s="1380" t="str">
        <f>IF(OR($E55="",$H55="",$K55=0),"",VLOOKUP($E55,'Data source'!$B$4:$I$111,2,FALSE))</f>
        <v/>
      </c>
      <c r="BA55" s="1378" t="str">
        <f>IF(OR($E55="",$H55="",$K55&lt;=0),"",AX55*AY55)</f>
        <v/>
      </c>
      <c r="BB55" s="1392"/>
      <c r="BC55" s="1380" t="str">
        <f>IF(OR($E55="",$H55="",$K55=0),"",VLOOKUP($E55,'Data source'!$B$4:$I$111,4,FALSE))</f>
        <v/>
      </c>
      <c r="BD55" s="1377" t="str">
        <f>IF(OR($E55="",$H55="",$K55&lt;=0),"",(($AX55/$AX$72)*BC55))</f>
        <v/>
      </c>
      <c r="BE55" s="1380" t="str">
        <f>IF(OR($E55="",$H55="",$K55=0),"",VLOOKUP($E55,'Data source'!$B$4:$I$111,5,FALSE))</f>
        <v/>
      </c>
      <c r="BF55" s="1377" t="str">
        <f>IF(OR($E55="",$H55="",$K55&lt;=0),"",(($AX55/$AX$72)*BE55))</f>
        <v/>
      </c>
      <c r="BG55" s="1380" t="str">
        <f>IF(OR($E55="",$H55="",$K55=0),"",VLOOKUP($E55,'Data source'!$B$4:$I$111,6,FALSE))</f>
        <v/>
      </c>
      <c r="BH55" s="1377" t="str">
        <f>IF(OR($E55="",$H55="",$K55&lt;=0),"",(($AX55/$AX$72)*BG55))</f>
        <v/>
      </c>
      <c r="BI55" s="1380" t="str">
        <f>IF(OR($E55="",$H55="",$K55=0),"",VLOOKUP($E55,'Data source'!$B$4:$I$111,7,FALSE))</f>
        <v/>
      </c>
      <c r="BJ55" s="1377" t="str">
        <f>IF(OR($E55="",$H55="",$K55&lt;=0),"",(BI55/100*BH55)*($AX55/$AX$72))</f>
        <v/>
      </c>
      <c r="BK55" s="1380" t="str">
        <f>IF(OR($E55="",$H55="",$K55=0),"",VLOOKUP($E55,'Data source'!$B$4:$I$111,8,FALSE))</f>
        <v/>
      </c>
      <c r="BL55" s="1381" t="str">
        <f>IF(OR($E55="",$H55="",$K55&lt;=0),"",(($AX55/$AX$72)*BK55))</f>
        <v/>
      </c>
      <c r="BM55" s="1242"/>
      <c r="BN55" s="1380">
        <f>IF(OR($E55="",$H55="",$K55=0),0,VLOOKUP($E55,'Data source'!$B$4:$T$111,13,FALSE))</f>
        <v>0</v>
      </c>
      <c r="BO55" s="1380">
        <f>IF(OR($E55="",$H55="",$K55=0),0,VLOOKUP($E55,'Data source'!$B$4:$T$111,14,FALSE))</f>
        <v>0</v>
      </c>
      <c r="BP55" s="1380">
        <f>IF(OR($E55="",$H55="",$K55=0),0,VLOOKUP($E55,'Data source'!$B$4:$T$111,15,FALSE))</f>
        <v>0</v>
      </c>
      <c r="BQ55" s="1380">
        <f>IF(OR($E55="",$H55="",$K55=0),0,VLOOKUP($E55,'Data source'!$B$4:$T$111,16,FALSE))</f>
        <v>0</v>
      </c>
      <c r="BR55" s="1380">
        <f>IF(OR($E55="",$H55="",$K55=0),0,VLOOKUP($E55,'Data source'!$B$4:$T$111,17,FALSE))</f>
        <v>0</v>
      </c>
      <c r="BS55" s="1380">
        <f>IF(OR($E55="",$H55="",$K55=0),0,VLOOKUP($E55,'Data source'!$B$4:$T$111,18,FALSE))</f>
        <v>0</v>
      </c>
      <c r="BT55" s="1408">
        <f>IF(OR($E55="",$H55="",$K55=0),0,VLOOKUP($E55,'Data source'!$B$4:$T$111,19,FALSE))</f>
        <v>0</v>
      </c>
      <c r="BU55" s="1385"/>
      <c r="BV55" s="1405">
        <f>IF(OR($E55="",$H55="",$K55&lt;=0),0,((43.498*$BN55)+(25.574*$BO55))-((28.206*$BP55)+(62.375*$BQ55)))*$AX55*10/1000</f>
        <v>0</v>
      </c>
      <c r="BW55" s="1242"/>
      <c r="BX55" s="1380" t="str">
        <f>IF(OR($E55="",$H55="",$K55&lt;=0,$AK55&lt;=0),"",VLOOKUP($E55,'Data source'!$B$15:$M$104,12,FALSE))</f>
        <v/>
      </c>
      <c r="BY55" s="1377" t="str">
        <f>IF(OR($E55="",$H55="",$K55&lt;=0,$AK55&lt;=0),"",IF($BX55="Dry",$AK55/$AW55/10,IF($BX55="Wet",$AK55/($AZ55/100)*$AW55/10,0)))</f>
        <v/>
      </c>
      <c r="BZ55" s="1377" t="str">
        <f>IF(OR($E55="",$H55="",$K55&lt;=0,$AK55&lt;=0,AY55=0),"",BY55/AY55)</f>
        <v/>
      </c>
      <c r="CA55" s="1407" t="str">
        <f>IF(OR($E55="",$H55="",$K55&lt;=0,$AK55&lt;=0),"",($BY55*$K55)/100)</f>
        <v/>
      </c>
      <c r="CB55" s="1388"/>
      <c r="CC55" s="44"/>
      <c r="CD55" s="94"/>
      <c r="CE55" s="94"/>
      <c r="CF55" s="44"/>
      <c r="CG55" s="914"/>
      <c r="CH55" s="7"/>
      <c r="CI55" s="129"/>
      <c r="CJ55" s="645"/>
      <c r="CK55" s="645"/>
      <c r="CL55" s="645"/>
      <c r="CM55" s="129"/>
      <c r="CN55" s="8"/>
      <c r="CO55" s="1760"/>
      <c r="CP55" s="1760"/>
      <c r="CQ55" s="8"/>
      <c r="CR55" s="1760"/>
      <c r="CS55" s="1760"/>
      <c r="CT55" s="7"/>
      <c r="CU55" s="1772"/>
      <c r="CV55" s="1772"/>
      <c r="CW55" s="1019"/>
      <c r="CX55" s="1019"/>
      <c r="CY55" s="1019"/>
      <c r="CZ55" s="1017"/>
      <c r="DA55" s="1017"/>
      <c r="DB55" s="1017"/>
      <c r="DC55" s="1017"/>
      <c r="DD55" s="1017"/>
      <c r="DE55" s="1017"/>
      <c r="DF55" s="1017"/>
      <c r="DG55" s="1017"/>
      <c r="DH55" s="1017"/>
      <c r="DI55" s="1017"/>
      <c r="DJ55" s="1017"/>
      <c r="DK55" s="1017"/>
      <c r="DL55" s="1017"/>
      <c r="DM55" s="1017"/>
      <c r="DN55" s="1017"/>
      <c r="DO55" s="1017"/>
      <c r="DP55" s="1017"/>
    </row>
    <row r="56" spans="1:120" ht="15" customHeight="1" thickBot="1">
      <c r="A56" s="75"/>
      <c r="B56" s="1662"/>
      <c r="C56" s="1664"/>
      <c r="D56" s="1813"/>
      <c r="E56" s="1667"/>
      <c r="F56" s="1668"/>
      <c r="G56" s="1304"/>
      <c r="H56" s="1667"/>
      <c r="I56" s="1668"/>
      <c r="J56" s="1676"/>
      <c r="K56" s="1672"/>
      <c r="L56" s="1132"/>
      <c r="M56" s="1846"/>
      <c r="N56" s="1485" t="str">
        <f>IF(OR($H$7="Dry", K55=""),"",IF(AND(E55="PKE",K55&gt;3),"&gt;3",""))</f>
        <v/>
      </c>
      <c r="O56" s="1682"/>
      <c r="P56" s="1131"/>
      <c r="Q56" s="1670"/>
      <c r="R56" s="1487" t="str">
        <f>IF(OR($H$7="Dry", O55=""),"",IF(AND(E55="PKE",O55&gt;3),"&gt;3",""))</f>
        <v/>
      </c>
      <c r="S56" s="1036"/>
      <c r="T56" s="1146"/>
      <c r="U56" s="1036"/>
      <c r="V56" s="1368"/>
      <c r="W56" s="1697"/>
      <c r="X56" s="1693"/>
      <c r="Y56" s="772"/>
      <c r="Z56" s="1750"/>
      <c r="AA56" s="1759"/>
      <c r="AB56" s="1747"/>
      <c r="AC56" s="1757"/>
      <c r="AD56" s="1751"/>
      <c r="AE56" s="1371"/>
      <c r="AF56" s="1289"/>
      <c r="AG56" s="105"/>
      <c r="AH56" s="1142"/>
      <c r="AI56" s="1036"/>
      <c r="AJ56" s="1109"/>
      <c r="AK56" s="1707"/>
      <c r="AL56" s="1705"/>
      <c r="AM56" s="1098"/>
      <c r="AN56" s="1703"/>
      <c r="AO56" s="1701"/>
      <c r="AP56" s="1098"/>
      <c r="AQ56" s="1703"/>
      <c r="AR56" s="1701"/>
      <c r="AS56" s="1167"/>
      <c r="AT56" s="75"/>
      <c r="AU56" s="1699"/>
      <c r="AV56" s="1188" t="str">
        <f>IF(OR(P55="",$Q$34="NO"),"",2)</f>
        <v/>
      </c>
      <c r="AW56" s="239" t="str">
        <f>IF(OR($E55="",$H55="",$O55&lt;=0,$Q$34="NO"),"",VLOOKUP($H55,'Data source'!$B$128:$C$188,2,FALSE))</f>
        <v/>
      </c>
      <c r="AX56" s="237">
        <f>IF(OR($E55="",$H55="",$O55&lt;=0,$Q$34="NO"),0,$O55*$AW56)</f>
        <v>0</v>
      </c>
      <c r="AY56" s="237" t="str">
        <f>IF(OR($E55="",$H55="",$O55&lt;=0,$Q$34="NO"),"",VLOOKUP($E55,'Data source'!$B$4:$I$111,3,FALSE))</f>
        <v/>
      </c>
      <c r="AZ56" s="237" t="str">
        <f>IF(OR($E55="",$H55="",$O55&lt;=0,$Q$34="NO"),"",VLOOKUP($E55,'Data source'!$B$4:$I$111,2,FALSE))</f>
        <v/>
      </c>
      <c r="BA56" s="238" t="str">
        <f>IF(OR($E55="",$H55="",$O55&lt;=0,$Q$34="NO"),"",$AX56*$AY56)</f>
        <v/>
      </c>
      <c r="BB56" s="1392"/>
      <c r="BC56" s="240" t="str">
        <f>IF(OR($E55="",$H55="",$O55&lt;=0,$Q$34="NO"),"",VLOOKUP($E55,'Data source'!$B$4:$I$111,4,FALSE))</f>
        <v/>
      </c>
      <c r="BD56" s="237" t="str">
        <f>IF(OR($E55="",$H55="",$O55&lt;=0,$Q$34="NO"),"",(($AX56/$AX$73)*$BC56))</f>
        <v/>
      </c>
      <c r="BE56" s="237" t="str">
        <f>IF(OR($E55="",$H55="",$O55&lt;=0,$Q$34="NO"),"",VLOOKUP($E55,'Data source'!$B$4:$I$111,5,FALSE))</f>
        <v/>
      </c>
      <c r="BF56" s="237" t="str">
        <f>IF(OR($E55="",$H55="",$O55&lt;=0,$Q$34="NO"),"",(($AX56/$AX$73)*BE56))</f>
        <v/>
      </c>
      <c r="BG56" s="237" t="str">
        <f>IF(OR($E55="",$H55="",$O55&lt;=0,$Q$34="NO"),"",VLOOKUP($E55,'Data source'!$B$4:$I$111,6,FALSE))</f>
        <v/>
      </c>
      <c r="BH56" s="237" t="str">
        <f>IF(OR($E55="",$H55="",$O55&lt;=0,$Q$34="NO"),"",(($AX56/$AX$73)*BG56))</f>
        <v/>
      </c>
      <c r="BI56" s="237" t="str">
        <f>IF(OR($E55="",$H55="",$O55&lt;=0,$Q$34="NO"),"",VLOOKUP($E55,'Data source'!$B$4:$I$111,7,FALSE))</f>
        <v/>
      </c>
      <c r="BJ56" s="237" t="str">
        <f>IF(OR($E55="",$H55="",$O55&lt;=0,$Q$34="NO"),"",(BI56/100*BH56)*($AX56/$AX$73))</f>
        <v/>
      </c>
      <c r="BK56" s="237" t="str">
        <f>IF(OR($E55="",$H55="",$O55&lt;=0,$Q$34="NO"),"",VLOOKUP($E55,'Data source'!$B$4:$I$111,8,FALSE))</f>
        <v/>
      </c>
      <c r="BL56" s="241" t="str">
        <f>IF(OR($E55="",$H55="",$O55&lt;=0,$Q$34="NO"),"",(($AX56/$AX$73)*BK56))</f>
        <v/>
      </c>
      <c r="BM56" s="1242"/>
      <c r="BN56" s="240">
        <f>IF(OR($E55="",$H55="",$O55&lt;=0,$Q$34="NO"),0,VLOOKUP($E55,'Data source'!$B$4:$T$111,13,FALSE))</f>
        <v>0</v>
      </c>
      <c r="BO56" s="237">
        <f>IF(OR($E55="",$H55="",$O55&lt;=0,$Q$34="NO"),0,VLOOKUP($E55,'Data source'!$B$4:$T$111,14,FALSE))</f>
        <v>0</v>
      </c>
      <c r="BP56" s="237">
        <f>IF(OR($E55="",$H55="",$O55&lt;=0,$Q$34="NO"),0,VLOOKUP($E55,'Data source'!$B$4:$T$111,15,FALSE))</f>
        <v>0</v>
      </c>
      <c r="BQ56" s="237">
        <f>IF(OR($E55="",$H55="",$O55&lt;=0,$Q$34="NO"),0,VLOOKUP($E55,'Data source'!$B$4:$T$111,16,FALSE))</f>
        <v>0</v>
      </c>
      <c r="BR56" s="237">
        <f>IF(OR($E55="",$H55="",$O55&lt;=0,$Q$34="NO"),0,VLOOKUP($E55,'Data source'!$B$4:$T$111,17,FALSE))</f>
        <v>0</v>
      </c>
      <c r="BS56" s="237">
        <f>IF(OR($E55="",$H55="",$O55&lt;=0,$Q$34="NO"),0,VLOOKUP($E55,'Data source'!$B$4:$T$111,18,FALSE))</f>
        <v>0</v>
      </c>
      <c r="BT56" s="241">
        <f>IF(OR($E55="",$H55="",$O55&lt;=0,$Q$34="NO"),0,VLOOKUP($E55,'Data source'!$B$4:$T$111,19,FALSE))</f>
        <v>0</v>
      </c>
      <c r="BU56" s="1385"/>
      <c r="BV56" s="982">
        <f>IF(OR($E55="",$H55="",$O55&lt;=0,$Q$34="NO"),0,((43.498*$BN56)+(25.574*$BO56))-((28.206*$BP56)+(62.375*$BQ56)))*$AX56*10/1000</f>
        <v>0</v>
      </c>
      <c r="BW56" s="1242"/>
      <c r="BX56" s="240" t="str">
        <f>IF(OR($E55="",$H55="",$O55&lt;=0,$AK55&lt;=0,$Q$34="NO"),"",VLOOKUP($E55,'Data source'!$B$15:$M$104,12,FALSE))</f>
        <v/>
      </c>
      <c r="BY56" s="237" t="str">
        <f>IF(OR($E55="",$H55="",$O55&lt;=0,$AK55&lt;=0,$Q$34="NO"),"",IF($BX56="Dry",$AK55/$AW56/10,IF($BX56="Wet",$AK55/($AZ56/100)*$AW56/10,0)))</f>
        <v/>
      </c>
      <c r="BZ56" s="237" t="str">
        <f>IF(OR($E55="",$H55="",$O55&lt;=0,$AK55&lt;=0,AY56=0,$Q$34="NO"),"",IF(OR($AS56="-",$O55=0),"",BY56/AY56))</f>
        <v/>
      </c>
      <c r="CA56" s="1000" t="str">
        <f>IF(OR($E55="",$H55="",$O55&lt;=0,$AK55&lt;=0,$Q$34="NO"),"",IF(OR($I43="-",$AS56="-",$O55=0),"",($BY56*$O55)/100))</f>
        <v/>
      </c>
      <c r="CB56" s="1388"/>
      <c r="CC56" s="44"/>
      <c r="CD56" s="94"/>
      <c r="CE56" s="94"/>
      <c r="CF56" s="44"/>
      <c r="CG56" s="914"/>
      <c r="CH56" s="7"/>
      <c r="CI56" s="129"/>
      <c r="CJ56" s="645"/>
      <c r="CK56" s="645"/>
      <c r="CL56" s="645"/>
      <c r="CM56" s="129"/>
      <c r="CN56" s="8"/>
      <c r="CO56" s="129"/>
      <c r="CP56" s="129"/>
      <c r="CQ56" s="8"/>
      <c r="CR56" s="129"/>
      <c r="CS56" s="129"/>
      <c r="CT56" s="7"/>
      <c r="CU56" s="1024"/>
      <c r="CV56" s="1024"/>
      <c r="CW56" s="1019"/>
      <c r="CX56" s="1019"/>
      <c r="CY56" s="1019"/>
      <c r="CZ56" s="1017"/>
      <c r="DA56" s="1017"/>
      <c r="DB56" s="1017"/>
      <c r="DC56" s="1017"/>
      <c r="DD56" s="1017"/>
      <c r="DE56" s="1017"/>
      <c r="DF56" s="1017"/>
      <c r="DG56" s="1017"/>
      <c r="DH56" s="1017"/>
      <c r="DI56" s="1017"/>
      <c r="DJ56" s="1017"/>
      <c r="DK56" s="1017"/>
      <c r="DL56" s="1017"/>
      <c r="DM56" s="1017"/>
      <c r="DN56" s="1017"/>
      <c r="DO56" s="1017"/>
      <c r="DP56" s="1017"/>
    </row>
    <row r="57" spans="1:120" ht="8.25" customHeight="1" thickTop="1" thickBot="1">
      <c r="A57" s="75"/>
      <c r="B57" s="1079"/>
      <c r="C57" s="1305"/>
      <c r="D57" s="1306"/>
      <c r="E57" s="1306"/>
      <c r="F57" s="1306"/>
      <c r="G57" s="1307"/>
      <c r="H57" s="1306"/>
      <c r="I57" s="1306"/>
      <c r="J57" s="1574"/>
      <c r="K57" s="1159"/>
      <c r="L57" s="1224"/>
      <c r="M57" s="1577"/>
      <c r="N57" s="51"/>
      <c r="O57" s="1163"/>
      <c r="P57" s="1131"/>
      <c r="Q57" s="1581"/>
      <c r="R57" s="1080"/>
      <c r="S57" s="1036"/>
      <c r="T57" s="1146"/>
      <c r="U57" s="1036"/>
      <c r="V57" s="1368"/>
      <c r="W57" s="7"/>
      <c r="X57" s="7"/>
      <c r="Y57" s="7"/>
      <c r="Z57" s="7"/>
      <c r="AA57" s="7"/>
      <c r="AB57" s="7"/>
      <c r="AC57" s="7"/>
      <c r="AD57" s="1150"/>
      <c r="AE57" s="1371"/>
      <c r="AF57" s="1289"/>
      <c r="AG57" s="105"/>
      <c r="AH57" s="1142"/>
      <c r="AI57" s="1036"/>
      <c r="AJ57" s="1109"/>
      <c r="AK57" s="1016"/>
      <c r="AL57" s="1155" t="str">
        <f>IF(OR($E56="-",$H56="-",$O57&lt;=0,$AK56&lt;=0,$Q$34="NO"),"",IF(OR(#REF!="-",$AS57="-",$O57=0),"",($BY57*$O57)/100))</f>
        <v/>
      </c>
      <c r="AM57" s="1071"/>
      <c r="AN57" s="1153"/>
      <c r="AO57" s="1152"/>
      <c r="AP57" s="1071"/>
      <c r="AQ57" s="1199"/>
      <c r="AR57" s="1154"/>
      <c r="AS57" s="1167"/>
      <c r="AT57" s="75"/>
      <c r="AU57" s="1400"/>
      <c r="AV57" s="1383"/>
      <c r="AW57" s="1389"/>
      <c r="AX57" s="1390"/>
      <c r="AY57" s="1390"/>
      <c r="AZ57" s="1390"/>
      <c r="BA57" s="1391"/>
      <c r="BB57" s="1392"/>
      <c r="BC57" s="1392"/>
      <c r="BD57" s="1392"/>
      <c r="BE57" s="1392"/>
      <c r="BF57" s="1392"/>
      <c r="BG57" s="1392"/>
      <c r="BH57" s="1392"/>
      <c r="BI57" s="1392"/>
      <c r="BJ57" s="1392"/>
      <c r="BK57" s="1392"/>
      <c r="BL57" s="1392"/>
      <c r="BM57" s="1392"/>
      <c r="BN57" s="1392"/>
      <c r="BO57" s="1392"/>
      <c r="BP57" s="1392"/>
      <c r="BQ57" s="1392"/>
      <c r="BR57" s="1392"/>
      <c r="BS57" s="1392"/>
      <c r="BT57" s="1392"/>
      <c r="BU57" s="1385"/>
      <c r="BV57" s="1385"/>
      <c r="BW57" s="1242"/>
      <c r="BX57" s="1392"/>
      <c r="BY57" s="1392"/>
      <c r="BZ57" s="1392"/>
      <c r="CA57" s="1392"/>
      <c r="CB57" s="1388"/>
      <c r="CC57" s="44"/>
      <c r="CD57" s="94"/>
      <c r="CE57" s="94"/>
      <c r="CF57" s="44"/>
      <c r="CG57" s="914"/>
      <c r="CH57" s="7"/>
      <c r="CI57" s="129"/>
      <c r="CJ57" s="645"/>
      <c r="CK57" s="645"/>
      <c r="CL57" s="645"/>
      <c r="CM57" s="129"/>
      <c r="CN57" s="8"/>
      <c r="CO57" s="129"/>
      <c r="CP57" s="129"/>
      <c r="CQ57" s="8"/>
      <c r="CR57" s="129"/>
      <c r="CS57" s="129"/>
      <c r="CT57" s="7"/>
      <c r="CU57" s="1024"/>
      <c r="CV57" s="1024"/>
      <c r="CW57" s="1019"/>
      <c r="CX57" s="1019"/>
      <c r="CY57" s="1019"/>
      <c r="CZ57" s="1017"/>
      <c r="DA57" s="1017"/>
      <c r="DB57" s="1017"/>
      <c r="DC57" s="1017"/>
      <c r="DD57" s="1017"/>
      <c r="DE57" s="1017"/>
      <c r="DF57" s="1017"/>
      <c r="DG57" s="1017"/>
      <c r="DH57" s="1017"/>
      <c r="DI57" s="1017"/>
      <c r="DJ57" s="1017"/>
      <c r="DK57" s="1017"/>
      <c r="DL57" s="1017"/>
      <c r="DM57" s="1017"/>
      <c r="DN57" s="1017"/>
      <c r="DO57" s="1017"/>
      <c r="DP57" s="1017"/>
    </row>
    <row r="58" spans="1:120" s="7" customFormat="1" ht="15" customHeight="1" thickTop="1">
      <c r="A58" s="75"/>
      <c r="B58" s="1662"/>
      <c r="C58" s="1663"/>
      <c r="D58" s="1813" t="str">
        <f>IF(C58="Minerals","i","")</f>
        <v/>
      </c>
      <c r="E58" s="1665"/>
      <c r="F58" s="1666"/>
      <c r="H58" s="1665"/>
      <c r="I58" s="1666"/>
      <c r="J58" s="1675" t="str">
        <f>IF(OR($C58="",$E58="",$H58=""),"",VLOOKUP($H58,'Data source'!$B$128:$C$188,2,FALSE))</f>
        <v/>
      </c>
      <c r="K58" s="1671"/>
      <c r="L58" s="882" t="str">
        <f>IF(OR(C58="",E58="",H58=""),"",K58)</f>
        <v/>
      </c>
      <c r="M58" s="1669" t="str">
        <f>IF(AX58=0,"",AX58)</f>
        <v/>
      </c>
      <c r="N58" s="51"/>
      <c r="O58" s="1681"/>
      <c r="P58" s="882" t="str">
        <f>IF(OR(C58="",E58="",H58=""),"",O58)</f>
        <v/>
      </c>
      <c r="Q58" s="1669" t="str">
        <f>IF(AX59=0,"",AX59)</f>
        <v/>
      </c>
      <c r="R58" s="1486" t="str">
        <f>IF(OR(N59="&gt;3",R59="&gt;3"),"i","")</f>
        <v/>
      </c>
      <c r="S58" s="1036"/>
      <c r="T58" s="1146"/>
      <c r="U58" s="1036"/>
      <c r="V58" s="1368"/>
      <c r="W58" s="1696" t="s">
        <v>144</v>
      </c>
      <c r="X58" s="1692" t="str">
        <f>IF(Y12="No","","&lt;6")</f>
        <v/>
      </c>
      <c r="Y58" s="772"/>
      <c r="Z58" s="1816"/>
      <c r="AA58" s="1758" t="str">
        <f>IF($K$71&gt;0,BL72,"")</f>
        <v/>
      </c>
      <c r="AB58" s="1747" t="str">
        <f>IF(OR(X58="",AA58=""),"",IF(AA58&gt;=6/0.9,"i",""))</f>
        <v/>
      </c>
      <c r="AC58" s="1758" t="str">
        <f>IF(AND($Q$34="YES",$O$71&gt;0),BL73,"")</f>
        <v/>
      </c>
      <c r="AD58" s="1751" t="str">
        <f>IF(OR(X58="",AC58=""),"",IF(AC58&gt;=6/0.9,"i",""))</f>
        <v/>
      </c>
      <c r="AE58" s="1371"/>
      <c r="AF58" s="1286" t="str">
        <f>IF($C58="Hay_Silage","FT1_",IF($C58="Concentrates","FT2_",IF($C58="By_products","FT3_",IF($C58="Fodder_beet_Default","FT4_",IF($C58="Other_Crops_Default","FT5_",IF($C58="Minerals","FT6_",IF($C58="Custom_Feeds_Minerals","FT7_",IF($C58="Custom_Bulb_Crops","FT8_","-"))))))))</f>
        <v>-</v>
      </c>
      <c r="AG58" s="105"/>
      <c r="AH58" s="1142"/>
      <c r="AI58" s="1036"/>
      <c r="AJ58" s="1035"/>
      <c r="AK58" s="1706"/>
      <c r="AL58" s="1704" t="str">
        <f>IF(OR($E58="",$H58=""),"",IF(AY58="",IF(AY59&gt;0,BZ59,0),BZ58))</f>
        <v/>
      </c>
      <c r="AM58" s="1098"/>
      <c r="AN58" s="1702" t="str">
        <f>IF(OR($E58="",$H58="",$K58="",$O$6=""),"",($K58/1000)*$O$6)</f>
        <v/>
      </c>
      <c r="AO58" s="1700" t="str">
        <f>CA58</f>
        <v/>
      </c>
      <c r="AP58" s="1098"/>
      <c r="AQ58" s="1702" t="str">
        <f>IF(OR($E58="",$H58="",$O58="",$O$6=""),"",($O58/1000)*$O$6)</f>
        <v/>
      </c>
      <c r="AR58" s="1700" t="str">
        <f>CA59</f>
        <v/>
      </c>
      <c r="AS58" s="1167"/>
      <c r="AT58" s="75"/>
      <c r="AU58" s="1698" t="str">
        <f>IF(E58="","",E58)</f>
        <v/>
      </c>
      <c r="AV58" s="1187" t="str">
        <f>IF(L58="","",1)</f>
        <v/>
      </c>
      <c r="AW58" s="1379" t="str">
        <f>IF(OR($E58="",$H58="",$K58&lt;=0),"",VLOOKUP($H58,'Data source'!$B$128:$C$188,2,FALSE))</f>
        <v/>
      </c>
      <c r="AX58" s="434">
        <f>IF(OR($E58="",$H58="",$K58&lt;=0),0,K58*AW58)</f>
        <v>0</v>
      </c>
      <c r="AY58" s="1380" t="str">
        <f>IF(OR($E58="",$H58="",$K58=0),"",VLOOKUP($E58,'Data source'!$B$4:$I$111,3,FALSE))</f>
        <v/>
      </c>
      <c r="AZ58" s="1380" t="str">
        <f>IF(OR($E58="",$H58="",$K58=0),"",VLOOKUP($E58,'Data source'!$B$4:$I$111,2,FALSE))</f>
        <v/>
      </c>
      <c r="BA58" s="1378" t="str">
        <f>IF(OR($E58="",$H58="",$K58&lt;=0),"",AX58*AY58)</f>
        <v/>
      </c>
      <c r="BB58" s="1392"/>
      <c r="BC58" s="1380" t="str">
        <f>IF(OR($E58="",$H58="",$K58=0),"",VLOOKUP($E58,'Data source'!$B$4:$I$111,4,FALSE))</f>
        <v/>
      </c>
      <c r="BD58" s="1377" t="str">
        <f>IF(OR($E58="",$H58="",$K58&lt;=0),"",(($AX58/$AX$72)*BC58))</f>
        <v/>
      </c>
      <c r="BE58" s="1380" t="str">
        <f>IF(OR($E58="",$H58="",$K58=0),"",VLOOKUP($E58,'Data source'!$B$4:$I$111,5,FALSE))</f>
        <v/>
      </c>
      <c r="BF58" s="1377" t="str">
        <f>IF(OR($E58="",$H58="",$K58&lt;=0),"",(($AX58/$AX$72)*BE58))</f>
        <v/>
      </c>
      <c r="BG58" s="1380" t="str">
        <f>IF(OR($E58="",$H58="",$K58=0),"",VLOOKUP($E58,'Data source'!$B$4:$I$111,6,FALSE))</f>
        <v/>
      </c>
      <c r="BH58" s="1377" t="str">
        <f>IF(OR($E58="",$H58="",$K58&lt;=0),"",(($AX58/$AX$72)*BG58))</f>
        <v/>
      </c>
      <c r="BI58" s="1380" t="str">
        <f>IF(OR($E58="",$H58="",$K58=0),"",VLOOKUP($E58,'Data source'!$B$4:$I$111,7,FALSE))</f>
        <v/>
      </c>
      <c r="BJ58" s="1377" t="str">
        <f>IF(OR($E58="",$H58="",$K58&lt;=0),"",(BI58/100*BH58)*($AX58/$AX$72))</f>
        <v/>
      </c>
      <c r="BK58" s="1380" t="str">
        <f>IF(OR($E58="",$H58="",$K58=0),"",VLOOKUP($E58,'Data source'!$B$4:$I$111,8,FALSE))</f>
        <v/>
      </c>
      <c r="BL58" s="1381" t="str">
        <f>IF(OR($E58="",$H58="",$K58&lt;=0),"",(($AX58/$AX$72)*BK58))</f>
        <v/>
      </c>
      <c r="BM58" s="1242"/>
      <c r="BN58" s="1380">
        <f>IF(OR($E58="",$H58="",$K58=0),0,VLOOKUP($E58,'Data source'!$B$4:$T$111,13,FALSE))</f>
        <v>0</v>
      </c>
      <c r="BO58" s="1380">
        <f>IF(OR($E58="",$H58="",$K58=0),0,VLOOKUP($E58,'Data source'!$B$4:$T$111,14,FALSE))</f>
        <v>0</v>
      </c>
      <c r="BP58" s="1380">
        <f>IF(OR($E58="",$H58="",$K58=0),0,VLOOKUP($E58,'Data source'!$B$4:$T$111,15,FALSE))</f>
        <v>0</v>
      </c>
      <c r="BQ58" s="1380">
        <f>IF(OR($E58="",$H58="",$K58=0),0,VLOOKUP($E58,'Data source'!$B$4:$T$111,16,FALSE))</f>
        <v>0</v>
      </c>
      <c r="BR58" s="1380">
        <f>IF(OR($E58="",$H58="",$K58=0),0,VLOOKUP($E58,'Data source'!$B$4:$T$111,17,FALSE))</f>
        <v>0</v>
      </c>
      <c r="BS58" s="1380">
        <f>IF(OR($E58="",$H58="",$K58=0),0,VLOOKUP($E58,'Data source'!$B$4:$T$111,18,FALSE))</f>
        <v>0</v>
      </c>
      <c r="BT58" s="1408">
        <f>IF(OR($E58="",$H58="",$K58=0),0,VLOOKUP($E58,'Data source'!$B$4:$T$111,19,FALSE))</f>
        <v>0</v>
      </c>
      <c r="BU58" s="1385"/>
      <c r="BV58" s="1405">
        <f>IF(OR($E58="",$H58="",$K58&lt;=0),0,((43.498*$BN58)+(25.574*$BO58))-((28.206*$BP58)+(62.375*$BQ58)))*$AX58*10/1000</f>
        <v>0</v>
      </c>
      <c r="BW58" s="1242"/>
      <c r="BX58" s="1380" t="str">
        <f>IF(OR($E58="",$H58="",$K58&lt;=0,$AK58&lt;=0),"",VLOOKUP($E58,'Data source'!$B$15:$M$104,12,FALSE))</f>
        <v/>
      </c>
      <c r="BY58" s="1377" t="str">
        <f>IF(OR($E58="",$H58="",$K58&lt;=0,$AK58&lt;=0),"",IF($BX58="Dry",$AK58/$AW58/10,IF($BX58="Wet",$AK58/($AZ58/100)*$AW58/10,0)))</f>
        <v/>
      </c>
      <c r="BZ58" s="1377" t="str">
        <f>IF(OR($E58="",$H58="",$K58&lt;=0,$AK58&lt;=0,AY58=0),"",BY58/AY58)</f>
        <v/>
      </c>
      <c r="CA58" s="1407" t="str">
        <f>IF(OR($E58="",$H58="",$K58&lt;=0,$AK58&lt;=0),"",($BY58*$K58)/100)</f>
        <v/>
      </c>
      <c r="CB58" s="1388"/>
      <c r="CC58" s="44"/>
      <c r="CD58" s="94"/>
      <c r="CE58" s="94"/>
      <c r="CF58" s="911"/>
      <c r="CG58" s="911"/>
      <c r="CI58" s="30"/>
      <c r="CJ58" s="645"/>
      <c r="CK58" s="645"/>
      <c r="CL58" s="645"/>
      <c r="CM58" s="51"/>
      <c r="CN58" s="8"/>
      <c r="CO58" s="30"/>
      <c r="CP58" s="51"/>
      <c r="CQ58" s="8"/>
      <c r="CR58" s="30"/>
      <c r="CS58" s="51"/>
      <c r="CU58" s="1024"/>
      <c r="CV58" s="1025"/>
      <c r="CW58" s="1019"/>
      <c r="CX58" s="1019"/>
      <c r="CY58" s="1019"/>
      <c r="CZ58" s="1019"/>
      <c r="DA58" s="1019"/>
      <c r="DB58" s="1019"/>
      <c r="DC58" s="1019"/>
      <c r="DD58" s="1019"/>
      <c r="DE58" s="1019"/>
      <c r="DF58" s="1019"/>
      <c r="DG58" s="1019"/>
      <c r="DH58" s="1019"/>
      <c r="DI58" s="1019"/>
      <c r="DJ58" s="1019"/>
      <c r="DK58" s="1019"/>
      <c r="DL58" s="1019"/>
      <c r="DM58" s="1019"/>
      <c r="DN58" s="1019"/>
      <c r="DO58" s="1019"/>
      <c r="DP58" s="1019"/>
    </row>
    <row r="59" spans="1:120" s="7" customFormat="1" ht="15" customHeight="1" thickBot="1">
      <c r="A59" s="75"/>
      <c r="B59" s="1662"/>
      <c r="C59" s="1664"/>
      <c r="D59" s="1813"/>
      <c r="E59" s="1667"/>
      <c r="F59" s="1668"/>
      <c r="G59" s="1304"/>
      <c r="H59" s="1667"/>
      <c r="I59" s="1668"/>
      <c r="J59" s="1676"/>
      <c r="K59" s="1672"/>
      <c r="L59" s="1131"/>
      <c r="M59" s="1670"/>
      <c r="N59" s="1485" t="str">
        <f>IF(OR($H$7="Dry", K58=""),"",IF(AND(E58="PKE",K58&gt;3),"&gt;3",""))</f>
        <v/>
      </c>
      <c r="O59" s="1682"/>
      <c r="P59" s="1132"/>
      <c r="Q59" s="1670"/>
      <c r="R59" s="1487" t="str">
        <f>IF(OR($H$7="Dry", O58=""),"",IF(AND(E58="PKE",O58&gt;3),"&gt;3",""))</f>
        <v/>
      </c>
      <c r="S59" s="1036"/>
      <c r="T59" s="1146"/>
      <c r="U59" s="1036"/>
      <c r="V59" s="1366"/>
      <c r="W59" s="1697"/>
      <c r="X59" s="1693"/>
      <c r="Y59" s="772"/>
      <c r="Z59" s="1816"/>
      <c r="AA59" s="1759"/>
      <c r="AB59" s="1747"/>
      <c r="AC59" s="1759"/>
      <c r="AD59" s="1751"/>
      <c r="AE59" s="1371"/>
      <c r="AF59" s="1289"/>
      <c r="AG59" s="105"/>
      <c r="AH59" s="1142"/>
      <c r="AI59" s="1036"/>
      <c r="AJ59" s="1035"/>
      <c r="AK59" s="1707"/>
      <c r="AL59" s="1705"/>
      <c r="AM59" s="1098"/>
      <c r="AN59" s="1703"/>
      <c r="AO59" s="1701"/>
      <c r="AP59" s="1098"/>
      <c r="AQ59" s="1703"/>
      <c r="AR59" s="1701"/>
      <c r="AS59" s="1167"/>
      <c r="AT59" s="75"/>
      <c r="AU59" s="1699"/>
      <c r="AV59" s="1188" t="str">
        <f>IF(OR(P58="",$Q$34="NO"),"",2)</f>
        <v/>
      </c>
      <c r="AW59" s="239" t="str">
        <f>IF(OR($E58="",$H58="",$O58&lt;=0,$Q$34="NO"),"",VLOOKUP($H58,'Data source'!$B$128:$C$188,2,FALSE))</f>
        <v/>
      </c>
      <c r="AX59" s="237">
        <f>IF(OR($E58="",$H58="",$O58&lt;=0,$Q$34="NO"),0,$O58*$AW59)</f>
        <v>0</v>
      </c>
      <c r="AY59" s="237" t="str">
        <f>IF(OR($E58="",$H58="",$O58&lt;=0,$Q$34="NO"),"",VLOOKUP($E58,'Data source'!$B$4:$I$111,3,FALSE))</f>
        <v/>
      </c>
      <c r="AZ59" s="237" t="str">
        <f>IF(OR($E58="",$H58="",$O58&lt;=0,$Q$34="NO"),"",VLOOKUP($E58,'Data source'!$B$4:$I$111,2,FALSE))</f>
        <v/>
      </c>
      <c r="BA59" s="238" t="str">
        <f>IF(OR($E58="",$H58="",$O58&lt;=0,$Q$34="NO"),"",$AX59*$AY59)</f>
        <v/>
      </c>
      <c r="BB59" s="1392"/>
      <c r="BC59" s="240" t="str">
        <f>IF(OR($E58="",$H58="",$O58&lt;=0,$Q$34="NO"),"",VLOOKUP($E58,'Data source'!$B$4:$I$111,4,FALSE))</f>
        <v/>
      </c>
      <c r="BD59" s="237" t="str">
        <f>IF(OR($E58="",$H58="",$O58&lt;=0,$Q$34="NO"),"",(($AX59/$AX$73)*$BC59))</f>
        <v/>
      </c>
      <c r="BE59" s="237" t="str">
        <f>IF(OR($E58="",$H58="",$O58&lt;=0,$Q$34="NO"),"",VLOOKUP($E58,'Data source'!$B$4:$I$111,5,FALSE))</f>
        <v/>
      </c>
      <c r="BF59" s="237" t="str">
        <f>IF(OR($E58="",$H58="",$O58&lt;=0,$Q$34="NO"),"",(($AX59/$AX$73)*BE59))</f>
        <v/>
      </c>
      <c r="BG59" s="237" t="str">
        <f>IF(OR($E58="",$H58="",$O58&lt;=0,$Q$34="NO"),"",VLOOKUP($E58,'Data source'!$B$4:$I$111,6,FALSE))</f>
        <v/>
      </c>
      <c r="BH59" s="237" t="str">
        <f>IF(OR($E58="",$H58="",$O58&lt;=0,$Q$34="NO"),"",(($AX59/$AX$73)*BG59))</f>
        <v/>
      </c>
      <c r="BI59" s="237" t="str">
        <f>IF(OR($E58="",$H58="",$O58&lt;=0,$Q$34="NO"),"",VLOOKUP($E58,'Data source'!$B$4:$I$111,7,FALSE))</f>
        <v/>
      </c>
      <c r="BJ59" s="237" t="str">
        <f>IF(OR($E58="",$H58="",$O58&lt;=0,$Q$34="NO"),"",(BI59/100*BH59)*($AX59/$AX$73))</f>
        <v/>
      </c>
      <c r="BK59" s="237" t="str">
        <f>IF(OR($E58="",$H58="",$O58&lt;=0,$Q$34="NO"),"",VLOOKUP($E58,'Data source'!$B$4:$I$111,8,FALSE))</f>
        <v/>
      </c>
      <c r="BL59" s="241" t="str">
        <f>IF(OR($E58="",$H58="",$O58&lt;=0,$Q$34="NO"),"",(($AX59/$AX$73)*BK59))</f>
        <v/>
      </c>
      <c r="BM59" s="1242"/>
      <c r="BN59" s="240">
        <f>IF(OR($E58="",$H58="",$O58&lt;=0,$Q$34="NO"),0,VLOOKUP($E58,'Data source'!$B$4:$T$111,13,FALSE))</f>
        <v>0</v>
      </c>
      <c r="BO59" s="237">
        <f>IF(OR($E58="",$H58="",$O58&lt;=0,$Q$34="NO"),0,VLOOKUP($E58,'Data source'!$B$4:$T$111,14,FALSE))</f>
        <v>0</v>
      </c>
      <c r="BP59" s="237">
        <f>IF(OR($E58="",$H58="",$O58&lt;=0,$Q$34="NO"),0,VLOOKUP($E58,'Data source'!$B$4:$T$111,15,FALSE))</f>
        <v>0</v>
      </c>
      <c r="BQ59" s="237">
        <f>IF(OR($E58="",$H58="",$O58&lt;=0,$Q$34="NO"),0,VLOOKUP($E58,'Data source'!$B$4:$T$111,16,FALSE))</f>
        <v>0</v>
      </c>
      <c r="BR59" s="237">
        <f>IF(OR($E58="",$H58="",$O58&lt;=0,$Q$34="NO"),0,VLOOKUP($E58,'Data source'!$B$4:$T$111,17,FALSE))</f>
        <v>0</v>
      </c>
      <c r="BS59" s="237">
        <f>IF(OR($E58="",$H58="",$O58&lt;=0,$Q$34="NO"),0,VLOOKUP($E58,'Data source'!$B$4:$T$111,18,FALSE))</f>
        <v>0</v>
      </c>
      <c r="BT59" s="241">
        <f>IF(OR($E58="",$H58="",$O58&lt;=0,$Q$34="NO"),0,VLOOKUP($E58,'Data source'!$B$4:$T$111,19,FALSE))</f>
        <v>0</v>
      </c>
      <c r="BU59" s="1385"/>
      <c r="BV59" s="982">
        <f>IF(OR($E58="",$H58="",$O58&lt;=0,$Q$34="NO"),0,((43.498*$BN59)+(25.574*$BO59))-((28.206*$BP59)+(62.375*$BQ59)))*$AX59*10/1000</f>
        <v>0</v>
      </c>
      <c r="BW59" s="1242"/>
      <c r="BX59" s="240" t="str">
        <f>IF(OR($E58="",$H58="",$O58&lt;=0,$AK58&lt;=0,$Q$34="NO"),"",VLOOKUP($E58,'Data source'!$B$15:$M$104,12,FALSE))</f>
        <v/>
      </c>
      <c r="BY59" s="237" t="str">
        <f>IF(OR($E58="",$H58="",$O58&lt;=0,$AK58&lt;=0,$Q$34="NO"),"",IF($BX59="Dry",$AK58/$AW59/10,IF($BX59="Wet",$AK58/($AZ59/100)*$AW59/10,0)))</f>
        <v/>
      </c>
      <c r="BZ59" s="237" t="str">
        <f>IF(OR($E58="",$H58="",$O58&lt;=0,$AK58&lt;=0,AY59=0,$Q$34="NO"),"",IF(OR($AS59="-",$O58=0),"",BY59/AY59))</f>
        <v/>
      </c>
      <c r="CA59" s="1000" t="str">
        <f>IF(OR($E58="",$H58="",$O58&lt;=0,$AK58&lt;=0,$Q$34="NO"),"",IF(OR($I46="-",$AS59="-",$O58=0),"",($BY59*$O58)/100))</f>
        <v/>
      </c>
      <c r="CB59" s="1388"/>
      <c r="CC59" s="44"/>
      <c r="CD59" s="94"/>
      <c r="CE59" s="94"/>
      <c r="CF59" s="911"/>
      <c r="CG59" s="911"/>
      <c r="CI59" s="30"/>
      <c r="CJ59" s="645"/>
      <c r="CK59" s="645"/>
      <c r="CL59" s="645"/>
      <c r="CM59" s="51"/>
      <c r="CN59" s="8"/>
      <c r="CO59" s="30"/>
      <c r="CP59" s="51"/>
      <c r="CQ59" s="8"/>
      <c r="CR59" s="30"/>
      <c r="CS59" s="51"/>
      <c r="CU59" s="1024"/>
      <c r="CV59" s="1025"/>
      <c r="CW59" s="1019"/>
      <c r="CX59" s="1019"/>
      <c r="CY59" s="1019"/>
      <c r="CZ59" s="1019"/>
      <c r="DA59" s="1019"/>
      <c r="DB59" s="1019"/>
      <c r="DC59" s="1019"/>
      <c r="DD59" s="1019"/>
      <c r="DE59" s="1019"/>
      <c r="DF59" s="1019"/>
      <c r="DG59" s="1019"/>
      <c r="DH59" s="1019"/>
      <c r="DI59" s="1019"/>
      <c r="DJ59" s="1019"/>
      <c r="DK59" s="1019"/>
      <c r="DL59" s="1019"/>
      <c r="DM59" s="1019"/>
      <c r="DN59" s="1019"/>
      <c r="DO59" s="1019"/>
      <c r="DP59" s="1019"/>
    </row>
    <row r="60" spans="1:120" s="7" customFormat="1" ht="9" customHeight="1" thickTop="1" thickBot="1">
      <c r="A60" s="75"/>
      <c r="B60" s="1028"/>
      <c r="C60" s="1300"/>
      <c r="D60" s="1306"/>
      <c r="E60" s="1306"/>
      <c r="F60" s="1306"/>
      <c r="G60" s="1307"/>
      <c r="H60" s="1306"/>
      <c r="I60" s="1306"/>
      <c r="J60" s="1574"/>
      <c r="K60" s="1160"/>
      <c r="L60" s="1225"/>
      <c r="M60" s="1577"/>
      <c r="N60" s="51"/>
      <c r="O60" s="1160"/>
      <c r="P60" s="1225"/>
      <c r="Q60" s="1577"/>
      <c r="R60" s="1080"/>
      <c r="S60" s="1036"/>
      <c r="T60" s="1146"/>
      <c r="U60" s="1036"/>
      <c r="V60" s="1366"/>
      <c r="W60"/>
      <c r="X60" s="8"/>
      <c r="Y60" s="8"/>
      <c r="Z60" s="8"/>
      <c r="AA60" s="8"/>
      <c r="AB60" s="8"/>
      <c r="AC60" s="8"/>
      <c r="AD60" s="8"/>
      <c r="AE60" s="1372"/>
      <c r="AF60" s="1289"/>
      <c r="AG60" s="105"/>
      <c r="AH60" s="1142"/>
      <c r="AI60" s="1036"/>
      <c r="AJ60" s="1035"/>
      <c r="AK60" s="1016"/>
      <c r="AL60" s="1155" t="str">
        <f>IF(OR($E59="-",$H59="-",$O60&lt;=0,$AK59&lt;=0,$Q$34="NO"),"",IF(OR(#REF!="-",$AS60="-",$O60=0),"",($BY60*$O60)/100))</f>
        <v/>
      </c>
      <c r="AM60" s="1071"/>
      <c r="AN60" s="1151"/>
      <c r="AO60" s="1152"/>
      <c r="AP60" s="1071"/>
      <c r="AQ60" s="1198"/>
      <c r="AR60" s="1154"/>
      <c r="AS60" s="1167"/>
      <c r="AT60" s="75"/>
      <c r="AU60" s="1382"/>
      <c r="AV60" s="1383"/>
      <c r="AW60" s="1389"/>
      <c r="AX60" s="1390"/>
      <c r="AY60" s="1390"/>
      <c r="AZ60" s="1390"/>
      <c r="BA60" s="1391"/>
      <c r="BB60" s="1392"/>
      <c r="BC60" s="1392"/>
      <c r="BD60" s="1392"/>
      <c r="BE60" s="1392"/>
      <c r="BF60" s="1392"/>
      <c r="BG60" s="1392"/>
      <c r="BH60" s="1392"/>
      <c r="BI60" s="1392"/>
      <c r="BJ60" s="1392"/>
      <c r="BK60" s="1392"/>
      <c r="BL60" s="1392"/>
      <c r="BM60" s="1392"/>
      <c r="BN60" s="1396"/>
      <c r="BO60" s="1396"/>
      <c r="BP60" s="1396"/>
      <c r="BQ60" s="1396"/>
      <c r="BR60" s="1396"/>
      <c r="BS60" s="1396"/>
      <c r="BT60" s="1396"/>
      <c r="BU60" s="1385"/>
      <c r="BV60" s="1386"/>
      <c r="BW60" s="1396"/>
      <c r="BX60" s="1392"/>
      <c r="BY60" s="1392"/>
      <c r="BZ60" s="1392"/>
      <c r="CA60" s="1394"/>
      <c r="CB60" s="1388"/>
      <c r="CC60" s="44"/>
      <c r="CD60" s="94"/>
      <c r="CE60" s="94"/>
      <c r="CF60" s="911"/>
      <c r="CG60" s="911"/>
      <c r="CI60" s="30"/>
      <c r="CJ60" s="645"/>
      <c r="CK60" s="645"/>
      <c r="CL60" s="645"/>
      <c r="CM60" s="51"/>
      <c r="CN60" s="8"/>
      <c r="CO60" s="30"/>
      <c r="CP60" s="51"/>
      <c r="CQ60" s="8"/>
      <c r="CR60" s="30"/>
      <c r="CS60" s="51"/>
      <c r="CU60" s="1024"/>
      <c r="CV60" s="1025"/>
      <c r="CW60" s="1019"/>
      <c r="CX60" s="1019"/>
      <c r="CY60" s="1019"/>
      <c r="CZ60" s="1019"/>
      <c r="DA60" s="1019"/>
      <c r="DB60" s="1019"/>
      <c r="DC60" s="1019"/>
      <c r="DD60" s="1019"/>
      <c r="DE60" s="1019"/>
      <c r="DF60" s="1019"/>
      <c r="DG60" s="1019"/>
      <c r="DH60" s="1019"/>
      <c r="DI60" s="1019"/>
      <c r="DJ60" s="1019"/>
      <c r="DK60" s="1019"/>
      <c r="DL60" s="1019"/>
      <c r="DM60" s="1019"/>
      <c r="DN60" s="1019"/>
      <c r="DO60" s="1019"/>
      <c r="DP60" s="1019"/>
    </row>
    <row r="61" spans="1:120" ht="15" customHeight="1" thickTop="1">
      <c r="A61" s="75"/>
      <c r="B61" s="1662"/>
      <c r="C61" s="1663"/>
      <c r="D61" s="1813" t="str">
        <f>IF(C61="Minerals","i","")</f>
        <v/>
      </c>
      <c r="E61" s="1665"/>
      <c r="F61" s="1666"/>
      <c r="H61" s="1665"/>
      <c r="I61" s="1666"/>
      <c r="J61" s="1677" t="str">
        <f>IF(OR($C61="",$E61="",$H61=""),"",VLOOKUP($H61,'Data source'!$B$128:$C$188,2,FALSE))</f>
        <v/>
      </c>
      <c r="K61" s="1671"/>
      <c r="L61" s="882" t="str">
        <f>IF(OR(C61="",E61="",H61=""),"",K61)</f>
        <v/>
      </c>
      <c r="M61" s="1669" t="str">
        <f>IF(AX61=0,"",AX61)</f>
        <v/>
      </c>
      <c r="N61" s="51"/>
      <c r="O61" s="1681"/>
      <c r="P61" s="882" t="str">
        <f>IF(OR(C61="",E61="",H61=""),"",O61)</f>
        <v/>
      </c>
      <c r="Q61" s="1669" t="str">
        <f>IF(AX62=0,"",AX62)</f>
        <v/>
      </c>
      <c r="R61" s="1486" t="str">
        <f>IF(OR(N62="&gt;3",R62="&gt;3"),"i","")</f>
        <v/>
      </c>
      <c r="S61" s="1036"/>
      <c r="T61" s="1146"/>
      <c r="U61" s="1036"/>
      <c r="V61" s="1368"/>
      <c r="AE61" s="1372"/>
      <c r="AF61" s="1286" t="str">
        <f>IF($C61="Hay_Silage","FT1_",IF($C61="Concentrates","FT2_",IF($C61="By_products","FT3_",IF($C61="Fodder_beet_Default","FT4_",IF($C61="Other_Crops_Default","FT5_",IF($C61="Minerals","FT6_",IF($C61="Custom_Feeds_Minerals","FT7_",IF($C61="Custom_Bulb_Crops","FT8_","-"))))))))</f>
        <v>-</v>
      </c>
      <c r="AG61" s="105"/>
      <c r="AH61" s="1142"/>
      <c r="AI61" s="1036"/>
      <c r="AJ61" s="1109"/>
      <c r="AK61" s="1706"/>
      <c r="AL61" s="1704" t="str">
        <f>IF(OR($E61="",$H61=""),"",IF(AY61="",IF(AY62&gt;0,BZ62,0),BZ61))</f>
        <v/>
      </c>
      <c r="AM61" s="1098"/>
      <c r="AN61" s="1702" t="str">
        <f>IF(OR($E61="",$H61="",$K61="",$O$6=""),"",($K61/1000)*$O$6)</f>
        <v/>
      </c>
      <c r="AO61" s="1700" t="str">
        <f>CA61</f>
        <v/>
      </c>
      <c r="AP61" s="1098"/>
      <c r="AQ61" s="1702" t="str">
        <f>IF(OR($E61="",$H61="",$O61="",$O$6=""),"",($O61/1000)*$O$6)</f>
        <v/>
      </c>
      <c r="AR61" s="1700" t="str">
        <f>CA62</f>
        <v/>
      </c>
      <c r="AS61" s="1167"/>
      <c r="AT61" s="75"/>
      <c r="AU61" s="1698" t="str">
        <f>IF(E61="","",E61)</f>
        <v/>
      </c>
      <c r="AV61" s="1187" t="str">
        <f>IF(L61="","",1)</f>
        <v/>
      </c>
      <c r="AW61" s="1379" t="str">
        <f>IF(OR($E61="",$H61="",$K61&lt;=0),"",VLOOKUP($H61,'Data source'!$B$128:$C$188,2,FALSE))</f>
        <v/>
      </c>
      <c r="AX61" s="434">
        <f>IF(OR($E61="",$H61="",$K61&lt;=0),0,K61*AW61)</f>
        <v>0</v>
      </c>
      <c r="AY61" s="1380" t="str">
        <f>IF(OR($E61="",$H61="",$K61=0),"",VLOOKUP($E61,'Data source'!$B$4:$I$111,3,FALSE))</f>
        <v/>
      </c>
      <c r="AZ61" s="1380" t="str">
        <f>IF(OR($E61="",$H61="",$K61=0),"",VLOOKUP($E61,'Data source'!$B$4:$I$111,2,FALSE))</f>
        <v/>
      </c>
      <c r="BA61" s="1378" t="str">
        <f>IF(OR($E61="",$H61="",$K61&lt;=0),"",AX61*AY61)</f>
        <v/>
      </c>
      <c r="BB61" s="1392"/>
      <c r="BC61" s="1380" t="str">
        <f>IF(OR($E61="",$H61="",$K61=0),"",VLOOKUP($E61,'Data source'!$B$4:$I$111,4,FALSE))</f>
        <v/>
      </c>
      <c r="BD61" s="1377" t="str">
        <f>IF(OR($E61="",$H61="",$K61&lt;=0),"",(($AX61/$AX$72)*BC61))</f>
        <v/>
      </c>
      <c r="BE61" s="1380" t="str">
        <f>IF(OR($E61="",$H61="",$K61=0),"",VLOOKUP($E61,'Data source'!$B$4:$I$111,5,FALSE))</f>
        <v/>
      </c>
      <c r="BF61" s="1377" t="str">
        <f>IF(OR($E61="",$H61="",$K61&lt;=0),"",(($AX61/$AX$72)*BE61))</f>
        <v/>
      </c>
      <c r="BG61" s="1380" t="str">
        <f>IF(OR($E61="",$H61="",$K61=0),"",VLOOKUP($E61,'Data source'!$B$4:$I$111,6,FALSE))</f>
        <v/>
      </c>
      <c r="BH61" s="1377" t="str">
        <f>IF(OR($E61="",$H61="",$K61&lt;=0),"",(($AX61/$AX$72)*BG61))</f>
        <v/>
      </c>
      <c r="BI61" s="1380" t="str">
        <f>IF(OR($E61="",$H61="",$K61=0),"",VLOOKUP($E61,'Data source'!$B$4:$I$111,7,FALSE))</f>
        <v/>
      </c>
      <c r="BJ61" s="1377" t="str">
        <f>IF(OR($E61="",$H61="",$K61&lt;=0),"",(BI61/100*BH61)*($AX61/$AX$72))</f>
        <v/>
      </c>
      <c r="BK61" s="1380" t="str">
        <f>IF(OR($E61="",$H61="",$K61=0),"",VLOOKUP($E61,'Data source'!$B$4:$I$111,8,FALSE))</f>
        <v/>
      </c>
      <c r="BL61" s="1381" t="str">
        <f>IF(OR($E61="",$H61="",$K61&lt;=0),"",(($AX61/$AX$72)*BK61))</f>
        <v/>
      </c>
      <c r="BM61" s="1242"/>
      <c r="BN61" s="1380">
        <f>IF(OR($E61="",$H61="",$K61=0),0,VLOOKUP($E61,'Data source'!$B$4:$T$111,13,FALSE))</f>
        <v>0</v>
      </c>
      <c r="BO61" s="1380">
        <f>IF(OR($E61="",$H61="",$K61=0),0,VLOOKUP($E61,'Data source'!$B$4:$T$111,14,FALSE))</f>
        <v>0</v>
      </c>
      <c r="BP61" s="1380">
        <f>IF(OR($E61="",$H61="",$K61=0),0,VLOOKUP($E61,'Data source'!$B$4:$T$111,15,FALSE))</f>
        <v>0</v>
      </c>
      <c r="BQ61" s="1380">
        <f>IF(OR($E61="",$H61="",$K61=0),0,VLOOKUP($E61,'Data source'!$B$4:$T$111,16,FALSE))</f>
        <v>0</v>
      </c>
      <c r="BR61" s="1380">
        <f>IF(OR($E61="",$H61="",$K61=0),0,VLOOKUP($E61,'Data source'!$B$4:$T$111,17,FALSE))</f>
        <v>0</v>
      </c>
      <c r="BS61" s="1380">
        <f>IF(OR($E61="",$H61="",$K61=0),0,VLOOKUP($E61,'Data source'!$B$4:$T$111,18,FALSE))</f>
        <v>0</v>
      </c>
      <c r="BT61" s="1408">
        <f>IF(OR($E61="",$H61="",$K61=0),0,VLOOKUP($E61,'Data source'!$B$4:$T$111,19,FALSE))</f>
        <v>0</v>
      </c>
      <c r="BU61" s="1385"/>
      <c r="BV61" s="1405">
        <f>IF(OR($E61="",$H61="",$K61&lt;=0),0,((43.498*$BN61)+(25.574*$BO61))-((28.206*$BP61)+(62.375*$BQ61)))*$AX61*10/1000</f>
        <v>0</v>
      </c>
      <c r="BW61" s="1242"/>
      <c r="BX61" s="1380" t="str">
        <f>IF(OR($E61="",$H61="",$K61&lt;=0,$AK61&lt;=0),"",VLOOKUP($E61,'Data source'!$B$15:$M$104,12,FALSE))</f>
        <v/>
      </c>
      <c r="BY61" s="1377" t="str">
        <f>IF(OR($E61="",$H61="",$K61&lt;=0,$AK61&lt;=0),"",IF($BX61="Dry",$AK61/$AW61/10,IF($BX61="Wet",$AK61/($AZ61/100)*$AW61/10,0)))</f>
        <v/>
      </c>
      <c r="BZ61" s="1377" t="str">
        <f>IF(OR($E61="",$H61="",$K61&lt;=0,$AK61&lt;=0,AY61=0),"",BY61/AY61)</f>
        <v/>
      </c>
      <c r="CA61" s="1407" t="str">
        <f>IF(OR($E61="",$H61="",$K61&lt;=0,$AK61&lt;=0),"",($BY61*$K61)/100)</f>
        <v/>
      </c>
      <c r="CB61" s="1388"/>
      <c r="CC61" s="44"/>
      <c r="CD61" s="94"/>
      <c r="CE61" s="94"/>
      <c r="CF61" s="912"/>
      <c r="CG61" s="913"/>
      <c r="CH61" s="7"/>
      <c r="CI61" s="13"/>
      <c r="CJ61" s="645"/>
      <c r="CK61" s="645"/>
      <c r="CL61" s="645"/>
      <c r="CM61" s="13"/>
      <c r="CN61" s="8"/>
      <c r="CO61" s="13"/>
      <c r="CP61" s="13"/>
      <c r="CQ61" s="8"/>
      <c r="CR61" s="13"/>
      <c r="CS61" s="13"/>
      <c r="CT61" s="7"/>
      <c r="CU61" s="1020"/>
      <c r="CV61" s="1020"/>
      <c r="CW61" s="1019"/>
      <c r="CX61" s="1019"/>
      <c r="CY61" s="1019"/>
      <c r="CZ61" s="1017"/>
      <c r="DA61" s="1017"/>
      <c r="DB61" s="1017"/>
      <c r="DC61" s="1017"/>
      <c r="DD61" s="1017"/>
      <c r="DE61" s="1017"/>
      <c r="DF61" s="1017"/>
      <c r="DG61" s="1017"/>
      <c r="DH61" s="1017"/>
      <c r="DI61" s="1017"/>
      <c r="DJ61" s="1017"/>
      <c r="DK61" s="1017"/>
      <c r="DL61" s="1017"/>
      <c r="DM61" s="1017"/>
      <c r="DN61" s="1017"/>
      <c r="DO61" s="1017"/>
      <c r="DP61" s="1017"/>
    </row>
    <row r="62" spans="1:120" ht="15" customHeight="1" thickBot="1">
      <c r="A62" s="75"/>
      <c r="B62" s="1662"/>
      <c r="C62" s="1664"/>
      <c r="D62" s="1813"/>
      <c r="E62" s="1667"/>
      <c r="F62" s="1668"/>
      <c r="G62" s="1304"/>
      <c r="H62" s="1667"/>
      <c r="I62" s="1668"/>
      <c r="J62" s="1678"/>
      <c r="K62" s="1672"/>
      <c r="L62" s="1132"/>
      <c r="M62" s="1670"/>
      <c r="N62" s="1485" t="str">
        <f>IF(OR($H$7="Dry", K61=""),"",IF(AND(E61="PKE",K61&gt;3),"&gt;3",""))</f>
        <v/>
      </c>
      <c r="O62" s="1682"/>
      <c r="P62" s="1132"/>
      <c r="Q62" s="1670"/>
      <c r="R62" s="1487" t="str">
        <f>IF(OR($H$7="Dry", O61=""),"",IF(AND(E61="PKE",O61&gt;3),"&gt;3",""))</f>
        <v/>
      </c>
      <c r="S62" s="1036"/>
      <c r="T62" s="1146"/>
      <c r="U62" s="1036"/>
      <c r="V62" s="1366"/>
      <c r="W62" s="1819" t="s">
        <v>350</v>
      </c>
      <c r="X62" s="1139"/>
      <c r="Z62" s="1139"/>
      <c r="AA62" s="1139"/>
      <c r="AB62" s="1139"/>
      <c r="AC62" s="1140"/>
      <c r="AD62" s="1141"/>
      <c r="AE62" s="1372"/>
      <c r="AF62" s="1289"/>
      <c r="AG62" s="105"/>
      <c r="AH62" s="1142"/>
      <c r="AI62" s="1036"/>
      <c r="AJ62" s="1109"/>
      <c r="AK62" s="1707"/>
      <c r="AL62" s="1705"/>
      <c r="AM62" s="1098"/>
      <c r="AN62" s="1703"/>
      <c r="AO62" s="1701"/>
      <c r="AP62" s="1098"/>
      <c r="AQ62" s="1703"/>
      <c r="AR62" s="1701"/>
      <c r="AS62" s="1167"/>
      <c r="AT62" s="75"/>
      <c r="AU62" s="1699"/>
      <c r="AV62" s="1188" t="str">
        <f>IF(OR(P61="",$Q$34="NO"),"",2)</f>
        <v/>
      </c>
      <c r="AW62" s="239" t="str">
        <f>IF(OR($E61="",$H61="",$O61&lt;=0,$Q$34="NO"),"",VLOOKUP($H61,'Data source'!$B$128:$C$188,2,FALSE))</f>
        <v/>
      </c>
      <c r="AX62" s="237">
        <f>IF(OR($E61="",$H61="",$O61&lt;=0,$Q$34="NO"),0,$O61*$AW62)</f>
        <v>0</v>
      </c>
      <c r="AY62" s="237" t="str">
        <f>IF(OR($E61="",$H61="",$O61&lt;=0,$Q$34="NO"),"",VLOOKUP($E61,'Data source'!$B$4:$I$111,3,FALSE))</f>
        <v/>
      </c>
      <c r="AZ62" s="237" t="str">
        <f>IF(OR($E61="",$H61="",$O61&lt;=0,$Q$34="NO"),"",VLOOKUP($E61,'Data source'!$B$4:$I$111,2,FALSE))</f>
        <v/>
      </c>
      <c r="BA62" s="238" t="str">
        <f>IF(OR($E61="",$H61="",$O61&lt;=0,$Q$34="NO"),"",$AX62*$AY62)</f>
        <v/>
      </c>
      <c r="BB62" s="1392"/>
      <c r="BC62" s="240" t="str">
        <f>IF(OR($E61="",$H61="",$O61&lt;=0,$Q$34="NO"),"",VLOOKUP($E61,'Data source'!$B$4:$I$111,4,FALSE))</f>
        <v/>
      </c>
      <c r="BD62" s="237" t="str">
        <f>IF(OR($E61="",$H61="",$O61&lt;=0,$Q$34="NO"),"",(($AX62/$AX$73)*$BC62))</f>
        <v/>
      </c>
      <c r="BE62" s="237" t="str">
        <f>IF(OR($E61="",$H61="",$O61&lt;=0,$Q$34="NO"),"",VLOOKUP($E61,'Data source'!$B$4:$I$111,5,FALSE))</f>
        <v/>
      </c>
      <c r="BF62" s="237" t="str">
        <f>IF(OR($E61="",$H61="",$O61&lt;=0,$Q$34="NO"),"",(($AX62/$AX$73)*BE62))</f>
        <v/>
      </c>
      <c r="BG62" s="237" t="str">
        <f>IF(OR($E61="",$H61="",$O61&lt;=0,$Q$34="NO"),"",VLOOKUP($E61,'Data source'!$B$4:$I$111,6,FALSE))</f>
        <v/>
      </c>
      <c r="BH62" s="237" t="str">
        <f>IF(OR($E61="",$H61="",$O61&lt;=0,$Q$34="NO"),"",(($AX62/$AX$73)*BG62))</f>
        <v/>
      </c>
      <c r="BI62" s="237" t="str">
        <f>IF(OR($E61="",$H61="",$O61&lt;=0,$Q$34="NO"),"",VLOOKUP($E61,'Data source'!$B$4:$I$111,7,FALSE))</f>
        <v/>
      </c>
      <c r="BJ62" s="237" t="str">
        <f>IF(OR($E61="",$H61="",$O61&lt;=0,$Q$34="NO"),"",(BI62/100*BH62)*($AX62/$AX$73))</f>
        <v/>
      </c>
      <c r="BK62" s="237" t="str">
        <f>IF(OR($E61="",$H61="",$O61&lt;=0,$Q$34="NO"),"",VLOOKUP($E61,'Data source'!$B$4:$I$111,8,FALSE))</f>
        <v/>
      </c>
      <c r="BL62" s="241" t="str">
        <f>IF(OR($E61="",$H61="",$O61&lt;=0,$Q$34="NO"),"",(($AX62/$AX$73)*BK62))</f>
        <v/>
      </c>
      <c r="BM62" s="1242"/>
      <c r="BN62" s="240">
        <f>IF(OR($E61="",$H61="",$O61&lt;=0,$Q$34="NO"),0,VLOOKUP($E61,'Data source'!$B$4:$T$111,13,FALSE))</f>
        <v>0</v>
      </c>
      <c r="BO62" s="237">
        <f>IF(OR($E61="",$H61="",$O61&lt;=0,$Q$34="NO"),0,VLOOKUP($E61,'Data source'!$B$4:$T$111,14,FALSE))</f>
        <v>0</v>
      </c>
      <c r="BP62" s="237">
        <f>IF(OR($E61="",$H61="",$O61&lt;=0,$Q$34="NO"),0,VLOOKUP($E61,'Data source'!$B$4:$T$111,15,FALSE))</f>
        <v>0</v>
      </c>
      <c r="BQ62" s="237">
        <f>IF(OR($E61="",$H61="",$O61&lt;=0,$Q$34="NO"),0,VLOOKUP($E61,'Data source'!$B$4:$T$111,16,FALSE))</f>
        <v>0</v>
      </c>
      <c r="BR62" s="237">
        <f>IF(OR($E61="",$H61="",$O61&lt;=0,$Q$34="NO"),0,VLOOKUP($E61,'Data source'!$B$4:$T$111,17,FALSE))</f>
        <v>0</v>
      </c>
      <c r="BS62" s="237">
        <f>IF(OR($E61="",$H61="",$O61&lt;=0,$Q$34="NO"),0,VLOOKUP($E61,'Data source'!$B$4:$T$111,18,FALSE))</f>
        <v>0</v>
      </c>
      <c r="BT62" s="241">
        <f>IF(OR($E61="",$H61="",$O61&lt;=0,$Q$34="NO"),0,VLOOKUP($E61,'Data source'!$B$4:$T$111,19,FALSE))</f>
        <v>0</v>
      </c>
      <c r="BU62" s="1385"/>
      <c r="BV62" s="982">
        <f>IF(OR($E61="",$H61="",$O61&lt;=0,$Q$34="NO"),0,((43.498*$BN62)+(25.574*$BO62))-((28.206*$BP62)+(62.375*$BQ62)))*$AX62*10/1000</f>
        <v>0</v>
      </c>
      <c r="BW62" s="1242"/>
      <c r="BX62" s="240" t="str">
        <f>IF(OR($E61="",$H61="",$O61&lt;=0,$AK61&lt;=0,$Q$34="NO"),"",VLOOKUP($E61,'Data source'!$B$15:$M$104,12,FALSE))</f>
        <v/>
      </c>
      <c r="BY62" s="237" t="str">
        <f>IF(OR($E61="",$H61="",$O61&lt;=0,$AK61&lt;=0,$Q$34="NO"),"",IF($BX62="Dry",$AK61/$AW62/10,IF($BX62="Wet",$AK61/($AZ62/100)*$AW62/10,0)))</f>
        <v/>
      </c>
      <c r="BZ62" s="237" t="str">
        <f>IF(OR($E61="",$H61="",$O61&lt;=0,$AK61&lt;=0,AY62=0,$Q$34="NO"),"",IF(OR($AS62="-",$O61=0),"",BY62/AY62))</f>
        <v/>
      </c>
      <c r="CA62" s="1000" t="str">
        <f>IF(OR($E61="",$H61="",$O61&lt;=0,$AK61&lt;=0,$Q$34="NO"),"",IF(OR($I49="-",$AS62="-",$O61=0),"",($BY62*$O61)/100))</f>
        <v/>
      </c>
      <c r="CB62" s="1388"/>
      <c r="CC62" s="44"/>
      <c r="CD62" s="94"/>
      <c r="CE62" s="94"/>
      <c r="CF62" s="912"/>
      <c r="CG62" s="913"/>
      <c r="CH62" s="7"/>
      <c r="CI62" s="13"/>
      <c r="CJ62" s="645"/>
      <c r="CK62" s="645"/>
      <c r="CL62" s="645"/>
      <c r="CM62" s="13"/>
      <c r="CN62" s="8"/>
      <c r="CO62" s="13"/>
      <c r="CP62" s="13"/>
      <c r="CQ62" s="8"/>
      <c r="CR62" s="13"/>
      <c r="CS62" s="13"/>
      <c r="CT62" s="7"/>
      <c r="CU62" s="1020"/>
      <c r="CV62" s="1020"/>
      <c r="CW62" s="1019"/>
      <c r="CX62" s="1019"/>
      <c r="CY62" s="1019"/>
      <c r="CZ62" s="1017"/>
      <c r="DA62" s="1017"/>
      <c r="DB62" s="1017"/>
      <c r="DC62" s="1017"/>
      <c r="DD62" s="1017"/>
      <c r="DE62" s="1017"/>
      <c r="DF62" s="1017"/>
      <c r="DG62" s="1017"/>
      <c r="DH62" s="1017"/>
      <c r="DI62" s="1017"/>
      <c r="DJ62" s="1017"/>
      <c r="DK62" s="1017"/>
      <c r="DL62" s="1017"/>
      <c r="DM62" s="1017"/>
      <c r="DN62" s="1017"/>
      <c r="DO62" s="1017"/>
      <c r="DP62" s="1017"/>
    </row>
    <row r="63" spans="1:120" ht="8.25" customHeight="1" thickTop="1" thickBot="1">
      <c r="A63" s="75"/>
      <c r="B63" s="1079"/>
      <c r="C63" s="1305"/>
      <c r="D63" s="1306"/>
      <c r="E63" s="1306"/>
      <c r="F63" s="1306"/>
      <c r="G63" s="1307"/>
      <c r="H63" s="1306"/>
      <c r="I63" s="1306"/>
      <c r="J63" s="1574"/>
      <c r="K63" s="1159"/>
      <c r="L63" s="1224"/>
      <c r="M63" s="1577"/>
      <c r="N63" s="51"/>
      <c r="O63" s="1159"/>
      <c r="P63" s="1224"/>
      <c r="Q63" s="1577"/>
      <c r="R63" s="1080"/>
      <c r="S63" s="1036"/>
      <c r="T63" s="1146"/>
      <c r="U63" s="1036"/>
      <c r="V63" s="1366"/>
      <c r="W63" s="1820"/>
      <c r="AE63" s="1367"/>
      <c r="AF63" s="1289"/>
      <c r="AG63" s="105"/>
      <c r="AH63" s="1142"/>
      <c r="AI63" s="1036"/>
      <c r="AJ63" s="1109"/>
      <c r="AK63" s="1016"/>
      <c r="AL63" s="1155" t="str">
        <f>IF(OR($E62="-",$H62="-",$O63&lt;=0,$AK62&lt;=0,$Q$34="NO"),"",IF(OR($I39="-",$AS63="-",$O63=0),"",($BY63*$O63)/100))</f>
        <v/>
      </c>
      <c r="AM63" s="1071"/>
      <c r="AN63" s="1153"/>
      <c r="AO63" s="1152"/>
      <c r="AP63" s="1071"/>
      <c r="AQ63" s="1199"/>
      <c r="AR63" s="1154"/>
      <c r="AS63" s="1167"/>
      <c r="AT63" s="75"/>
      <c r="AU63" s="1400"/>
      <c r="AV63" s="1383"/>
      <c r="AW63" s="1389"/>
      <c r="AX63" s="1390"/>
      <c r="AY63" s="1390"/>
      <c r="AZ63" s="1390"/>
      <c r="BA63" s="1391"/>
      <c r="BB63" s="1392"/>
      <c r="BC63" s="1390"/>
      <c r="BD63" s="1390"/>
      <c r="BE63" s="1390"/>
      <c r="BF63" s="1390"/>
      <c r="BG63" s="1390"/>
      <c r="BH63" s="1390"/>
      <c r="BI63" s="1390"/>
      <c r="BJ63" s="1390"/>
      <c r="BK63" s="1390"/>
      <c r="BL63" s="1390"/>
      <c r="BM63" s="1242"/>
      <c r="BN63" s="1390"/>
      <c r="BO63" s="1390"/>
      <c r="BP63" s="1390"/>
      <c r="BQ63" s="1390"/>
      <c r="BR63" s="1390"/>
      <c r="BS63" s="1390"/>
      <c r="BT63" s="1390"/>
      <c r="BU63" s="1385"/>
      <c r="BV63" s="1401"/>
      <c r="BW63" s="1242"/>
      <c r="BX63" s="1402"/>
      <c r="BY63" s="1390"/>
      <c r="BZ63" s="1238"/>
      <c r="CA63" s="1403"/>
      <c r="CB63" s="1388"/>
      <c r="CC63" s="44"/>
      <c r="CD63" s="94"/>
      <c r="CE63" s="94"/>
      <c r="CF63" s="912"/>
      <c r="CG63" s="913"/>
      <c r="CH63" s="7"/>
      <c r="CI63" s="13"/>
      <c r="CJ63" s="645"/>
      <c r="CK63" s="645"/>
      <c r="CL63" s="645"/>
      <c r="CM63" s="13"/>
      <c r="CN63" s="8"/>
      <c r="CO63" s="13"/>
      <c r="CP63" s="13"/>
      <c r="CQ63" s="8"/>
      <c r="CR63" s="13"/>
      <c r="CS63" s="13"/>
      <c r="CT63" s="7"/>
      <c r="CU63" s="1020"/>
      <c r="CV63" s="1020"/>
      <c r="CW63" s="1019"/>
      <c r="CX63" s="1019"/>
      <c r="CY63" s="1019"/>
      <c r="CZ63" s="1017"/>
      <c r="DA63" s="1017"/>
      <c r="DB63" s="1017"/>
      <c r="DC63" s="1017"/>
      <c r="DD63" s="1017"/>
      <c r="DE63" s="1017"/>
      <c r="DF63" s="1017"/>
      <c r="DG63" s="1017"/>
      <c r="DH63" s="1017"/>
      <c r="DI63" s="1017"/>
      <c r="DJ63" s="1017"/>
      <c r="DK63" s="1017"/>
      <c r="DL63" s="1017"/>
      <c r="DM63" s="1017"/>
      <c r="DN63" s="1017"/>
      <c r="DO63" s="1017"/>
      <c r="DP63" s="1017"/>
    </row>
    <row r="64" spans="1:120" ht="15" customHeight="1" thickTop="1">
      <c r="A64" s="75"/>
      <c r="B64" s="1662"/>
      <c r="C64" s="1663"/>
      <c r="D64" s="1813" t="str">
        <f>IF(C64="Minerals","i","")</f>
        <v/>
      </c>
      <c r="E64" s="1665"/>
      <c r="F64" s="1666"/>
      <c r="H64" s="1665"/>
      <c r="I64" s="1666"/>
      <c r="J64" s="1675" t="str">
        <f>IF(OR($C64="",$E64="",$H64=""),"",VLOOKUP($H64,'Data source'!$B$128:$C$188,2,FALSE))</f>
        <v/>
      </c>
      <c r="K64" s="1671"/>
      <c r="L64" s="882" t="str">
        <f>IF(OR(C64="",E64="",H64=""),"",K64)</f>
        <v/>
      </c>
      <c r="M64" s="1669" t="str">
        <f>IF(AX64=0,"",AX64)</f>
        <v/>
      </c>
      <c r="N64" s="51"/>
      <c r="O64" s="1681"/>
      <c r="P64" s="882" t="str">
        <f>IF(OR(C64="",E64="",H64=""),"",O64)</f>
        <v/>
      </c>
      <c r="Q64" s="1669" t="str">
        <f>IF(AX65=0,"",AX65)</f>
        <v/>
      </c>
      <c r="R64" s="1486" t="str">
        <f>IF(OR(N65="&gt;3",R65="&gt;3"),"i","")</f>
        <v/>
      </c>
      <c r="S64" s="1036"/>
      <c r="T64" s="1146"/>
      <c r="U64" s="1036"/>
      <c r="V64" s="1368"/>
      <c r="W64" s="1725" t="s">
        <v>256</v>
      </c>
      <c r="X64" s="1727" t="str">
        <f>IF(Y12="No","",IF($H$7="Early",0.2,IF($H$7="Mid",0.2,IF($H$7="Late",0.2,IF($H$7="Dry",IF(AF16="YES",0.12,0.15))))))</f>
        <v/>
      </c>
      <c r="Y64" s="1729" t="s">
        <v>410</v>
      </c>
      <c r="Z64" s="1749"/>
      <c r="AA64" s="1723" t="str">
        <f>IF($K$71&gt;0,BN72,"")</f>
        <v/>
      </c>
      <c r="AB64" s="1750"/>
      <c r="AC64" s="1723" t="str">
        <f>IF(AND($Q$34="YES",$O$71&gt;0),BN73,"")</f>
        <v/>
      </c>
      <c r="AD64" s="1750"/>
      <c r="AE64" s="1372"/>
      <c r="AF64" s="1286" t="str">
        <f>IF($C64="Hay_Silage","FT1_",IF($C64="Concentrates","FT2_",IF($C64="By_products","FT3_",IF($C64="Fodder_beet_Default","FT4_",IF($C64="Other_Crops_Default","FT5_",IF($C64="Minerals","FT6_",IF($C64="Custom_Feeds_Minerals","FT7_",IF($C64="Custom_Bulb_Crops","FT8_","-"))))))))</f>
        <v>-</v>
      </c>
      <c r="AG64" s="105"/>
      <c r="AH64" s="1142"/>
      <c r="AI64" s="1036"/>
      <c r="AJ64" s="1109"/>
      <c r="AK64" s="1706"/>
      <c r="AL64" s="1704" t="str">
        <f>IF(OR($E64="",$H64=""),"",IF(AY64="",IF(AY65&gt;0,BZ65,0),BZ64))</f>
        <v/>
      </c>
      <c r="AM64" s="1098"/>
      <c r="AN64" s="1702" t="str">
        <f>IF(OR($E64="",$H64="",$K64="",$O$6=""),"",($K64/1000)*$O$6)</f>
        <v/>
      </c>
      <c r="AO64" s="1700" t="str">
        <f>CA64</f>
        <v/>
      </c>
      <c r="AP64" s="1098"/>
      <c r="AQ64" s="1702" t="str">
        <f>IF(OR($E64="",$H64="",$O64="",$O$6=""),"",($O64/1000)*$O$6)</f>
        <v/>
      </c>
      <c r="AR64" s="1700" t="str">
        <f>CA65</f>
        <v/>
      </c>
      <c r="AS64" s="1167"/>
      <c r="AT64" s="75"/>
      <c r="AU64" s="1698" t="str">
        <f>IF(E64="","",E64)</f>
        <v/>
      </c>
      <c r="AV64" s="1187" t="str">
        <f>IF(L64="","",1)</f>
        <v/>
      </c>
      <c r="AW64" s="1379" t="str">
        <f>IF(OR($E64="",$H64="",$K64&lt;=0),"",VLOOKUP($H64,'Data source'!$B$128:$C$188,2,FALSE))</f>
        <v/>
      </c>
      <c r="AX64" s="434">
        <f>IF(OR($E64="",$H64="",$K64&lt;=0),0,K64*AW64)</f>
        <v>0</v>
      </c>
      <c r="AY64" s="1380" t="str">
        <f>IF(OR($E64="",$H64="",$K64=0),"",VLOOKUP($E64,'Data source'!$B$4:$I$111,3,FALSE))</f>
        <v/>
      </c>
      <c r="AZ64" s="1380" t="str">
        <f>IF(OR($E64="",$H64="",$K64=0),"",VLOOKUP($E64,'Data source'!$B$4:$I$111,2,FALSE))</f>
        <v/>
      </c>
      <c r="BA64" s="1378" t="str">
        <f>IF(OR($E64="",$H64="",$K64&lt;=0),"",AX64*AY64)</f>
        <v/>
      </c>
      <c r="BB64" s="1392"/>
      <c r="BC64" s="1380" t="str">
        <f>IF(OR($E64="",$H64="",$K64=0),"",VLOOKUP($E64,'Data source'!$B$4:$I$111,4,FALSE))</f>
        <v/>
      </c>
      <c r="BD64" s="1377" t="str">
        <f>IF(OR($E64="",$H64="",$K64&lt;=0),"",(($AX64/$AX$72)*BC64))</f>
        <v/>
      </c>
      <c r="BE64" s="1380" t="str">
        <f>IF(OR($E64="",$H64="",$K64=0),"",VLOOKUP($E64,'Data source'!$B$4:$I$111,5,FALSE))</f>
        <v/>
      </c>
      <c r="BF64" s="1377" t="str">
        <f>IF(OR($E64="",$H64="",$K64&lt;=0),"",(($AX64/$AX$72)*BE64))</f>
        <v/>
      </c>
      <c r="BG64" s="1380" t="str">
        <f>IF(OR($E64="",$H64="",$K64=0),"",VLOOKUP($E64,'Data source'!$B$4:$I$111,6,FALSE))</f>
        <v/>
      </c>
      <c r="BH64" s="1377" t="str">
        <f>IF(OR($E64="",$H64="",$K64&lt;=0),"",(($AX64/$AX$72)*BG64))</f>
        <v/>
      </c>
      <c r="BI64" s="1380" t="str">
        <f>IF(OR($E64="",$H64="",$K64=0),"",VLOOKUP($E64,'Data source'!$B$4:$I$111,7,FALSE))</f>
        <v/>
      </c>
      <c r="BJ64" s="1377" t="str">
        <f>IF(OR($E64="",$H64="",$K64&lt;=0),"",(BI64/100*BH64)*($AX64/$AX$72))</f>
        <v/>
      </c>
      <c r="BK64" s="1380" t="str">
        <f>IF(OR($E64="",$H64="",$K64=0),"",VLOOKUP($E64,'Data source'!$B$4:$I$111,8,FALSE))</f>
        <v/>
      </c>
      <c r="BL64" s="1381" t="str">
        <f>IF(OR($E64="",$H64="",$K64&lt;=0),"",(($AX64/$AX$72)*BK64))</f>
        <v/>
      </c>
      <c r="BM64" s="1242"/>
      <c r="BN64" s="1380">
        <f>IF(OR($E64="",$H64="",$K64=0),0,VLOOKUP($E64,'Data source'!$B$4:$T$111,13,FALSE))</f>
        <v>0</v>
      </c>
      <c r="BO64" s="1380">
        <f>IF(OR($E64="",$H64="",$K64=0),0,VLOOKUP($E64,'Data source'!$B$4:$T$111,14,FALSE))</f>
        <v>0</v>
      </c>
      <c r="BP64" s="1380">
        <f>IF(OR($E64="",$H64="",$K64=0),0,VLOOKUP($E64,'Data source'!$B$4:$T$111,15,FALSE))</f>
        <v>0</v>
      </c>
      <c r="BQ64" s="1380">
        <f>IF(OR($E64="",$H64="",$K64=0),0,VLOOKUP($E64,'Data source'!$B$4:$T$111,16,FALSE))</f>
        <v>0</v>
      </c>
      <c r="BR64" s="1380">
        <f>IF(OR($E64="",$H64="",$K64=0),0,VLOOKUP($E64,'Data source'!$B$4:$T$111,17,FALSE))</f>
        <v>0</v>
      </c>
      <c r="BS64" s="1380">
        <f>IF(OR($E64="",$H64="",$K64=0),0,VLOOKUP($E64,'Data source'!$B$4:$T$111,18,FALSE))</f>
        <v>0</v>
      </c>
      <c r="BT64" s="1408">
        <f>IF(OR($E64="",$H64="",$K64=0),0,VLOOKUP($E64,'Data source'!$B$4:$T$111,19,FALSE))</f>
        <v>0</v>
      </c>
      <c r="BU64" s="1385"/>
      <c r="BV64" s="1405">
        <f>IF(OR($E64="",$H64="",$K64&lt;=0),0,((43.498*$BN64)+(25.574*$BO64))-((28.206*$BP64)+(62.375*$BQ64)))*$AX64*10/1000</f>
        <v>0</v>
      </c>
      <c r="BW64" s="1242"/>
      <c r="BX64" s="1380" t="str">
        <f>IF(OR($E64="",$H64="",$K64&lt;=0,$AK64&lt;=0),"",VLOOKUP($E64,'Data source'!$B$15:$M$104,12,FALSE))</f>
        <v/>
      </c>
      <c r="BY64" s="1377" t="str">
        <f>IF(OR($E64="",$H64="",$K64&lt;=0,$AK64&lt;=0),"",IF($BX64="Dry",$AK64/$AW64/10,IF($BX64="Wet",$AK64/($AZ64/100)*$AW64/10,0)))</f>
        <v/>
      </c>
      <c r="BZ64" s="1377" t="str">
        <f>IF(OR($E64="",$H64="",$K64&lt;=0,$AK64&lt;=0,AY64=0),"",BY64/AY64)</f>
        <v/>
      </c>
      <c r="CA64" s="1407" t="str">
        <f>IF(OR($E64="",$H64="",$K64&lt;=0,$AK64&lt;=0),"",($BY64*$K64)/100)</f>
        <v/>
      </c>
      <c r="CB64" s="1388"/>
      <c r="CC64" s="44"/>
      <c r="CD64" s="94"/>
      <c r="CE64" s="94"/>
      <c r="CF64" s="915"/>
      <c r="CG64" s="913"/>
      <c r="CH64" s="18"/>
      <c r="CI64" s="14"/>
      <c r="CJ64" s="645"/>
      <c r="CK64" s="645"/>
      <c r="CL64" s="645"/>
      <c r="CM64" s="13"/>
      <c r="CN64" s="8"/>
      <c r="CO64" s="14"/>
      <c r="CP64" s="13"/>
      <c r="CQ64" s="13"/>
      <c r="CR64" s="14"/>
      <c r="CS64" s="13"/>
      <c r="CT64" s="13"/>
      <c r="CU64" s="1023"/>
      <c r="CV64" s="1020"/>
      <c r="CW64" s="1019"/>
      <c r="CX64" s="1019"/>
      <c r="CY64" s="1019"/>
      <c r="CZ64" s="1017"/>
      <c r="DA64" s="1017"/>
      <c r="DB64" s="1017"/>
      <c r="DC64" s="1017"/>
      <c r="DD64" s="1017"/>
      <c r="DE64" s="1017"/>
      <c r="DF64" s="1017"/>
      <c r="DG64" s="1017"/>
      <c r="DH64" s="1017"/>
      <c r="DI64" s="1017"/>
      <c r="DJ64" s="1017"/>
      <c r="DK64" s="1017"/>
      <c r="DL64" s="1017"/>
      <c r="DM64" s="1017"/>
      <c r="DN64" s="1017"/>
      <c r="DO64" s="1017"/>
      <c r="DP64" s="1017"/>
    </row>
    <row r="65" spans="1:238" ht="15" customHeight="1" thickBot="1">
      <c r="A65" s="75"/>
      <c r="B65" s="1662"/>
      <c r="C65" s="1664"/>
      <c r="D65" s="1813"/>
      <c r="E65" s="1667"/>
      <c r="F65" s="1668"/>
      <c r="G65" s="1308"/>
      <c r="H65" s="1667"/>
      <c r="I65" s="1668"/>
      <c r="J65" s="1676"/>
      <c r="K65" s="1672"/>
      <c r="L65" s="1132"/>
      <c r="M65" s="1670"/>
      <c r="N65" s="1485" t="str">
        <f>IF(OR($H$7="Dry", K64=""),"",IF(AND(E64="PKE",K64&gt;3),"&gt;3",""))</f>
        <v/>
      </c>
      <c r="O65" s="1682"/>
      <c r="P65" s="1132"/>
      <c r="Q65" s="1670"/>
      <c r="R65" s="1487" t="str">
        <f>IF(OR($H$7="Dry", O64=""),"",IF(AND(E64="PKE",O64&gt;3),"&gt;3",""))</f>
        <v/>
      </c>
      <c r="S65" s="1036"/>
      <c r="T65" s="1146"/>
      <c r="U65" s="1036"/>
      <c r="V65" s="1366"/>
      <c r="W65" s="1726"/>
      <c r="X65" s="1728"/>
      <c r="Y65" s="1729"/>
      <c r="Z65" s="1749"/>
      <c r="AA65" s="1724"/>
      <c r="AB65" s="1750"/>
      <c r="AC65" s="1724"/>
      <c r="AD65" s="1750"/>
      <c r="AE65" s="1372"/>
      <c r="AF65" s="1289"/>
      <c r="AG65" s="105"/>
      <c r="AH65" s="1142"/>
      <c r="AI65" s="1036"/>
      <c r="AJ65" s="1109"/>
      <c r="AK65" s="1707"/>
      <c r="AL65" s="1705"/>
      <c r="AM65" s="1098"/>
      <c r="AN65" s="1703"/>
      <c r="AO65" s="1701"/>
      <c r="AP65" s="1098"/>
      <c r="AQ65" s="1703"/>
      <c r="AR65" s="1701"/>
      <c r="AS65" s="1167"/>
      <c r="AT65" s="75"/>
      <c r="AU65" s="1699"/>
      <c r="AV65" s="1188" t="str">
        <f>IF(OR(P64="",$Q$34="NO"),"",2)</f>
        <v/>
      </c>
      <c r="AW65" s="239" t="str">
        <f>IF(OR($E64="",$H64="",$O64&lt;=0,$Q$34="NO"),"",VLOOKUP($H64,'Data source'!$B$128:$C$188,2,FALSE))</f>
        <v/>
      </c>
      <c r="AX65" s="237">
        <f>IF(OR($E64="",$H64="",$O64&lt;=0,$Q$34="NO"),0,$O64*$AW65)</f>
        <v>0</v>
      </c>
      <c r="AY65" s="237" t="str">
        <f>IF(OR($E64="",$H64="",$O64&lt;=0,$Q$34="NO"),"",VLOOKUP($E64,'Data source'!$B$4:$I$111,3,FALSE))</f>
        <v/>
      </c>
      <c r="AZ65" s="237" t="str">
        <f>IF(OR($E64="",$H64="",$O64&lt;=0,$Q$34="NO"),"",VLOOKUP($E64,'Data source'!$B$4:$I$111,2,FALSE))</f>
        <v/>
      </c>
      <c r="BA65" s="238" t="str">
        <f>IF(OR($E64="",$H64="",$O64&lt;=0,$Q$34="NO"),"",$AX65*$AY65)</f>
        <v/>
      </c>
      <c r="BB65" s="1392"/>
      <c r="BC65" s="240" t="str">
        <f>IF(OR($E64="",$H64="",$O64&lt;=0,$Q$34="NO"),"",VLOOKUP($E64,'Data source'!$B$4:$I$111,4,FALSE))</f>
        <v/>
      </c>
      <c r="BD65" s="237" t="str">
        <f>IF(OR($E64="",$H64="",$O64&lt;=0,$Q$34="NO"),"",(($AX65/$AX$73)*$BC65))</f>
        <v/>
      </c>
      <c r="BE65" s="237" t="str">
        <f>IF(OR($E64="",$H64="",$O64&lt;=0,$Q$34="NO"),"",VLOOKUP($E64,'Data source'!$B$4:$I$111,5,FALSE))</f>
        <v/>
      </c>
      <c r="BF65" s="237" t="str">
        <f>IF(OR($E64="",$H64="",$O64&lt;=0,$Q$34="NO"),"",(($AX65/$AX$73)*BE65))</f>
        <v/>
      </c>
      <c r="BG65" s="237" t="str">
        <f>IF(OR($E64="",$H64="",$O64&lt;=0,$Q$34="NO"),"",VLOOKUP($E64,'Data source'!$B$4:$I$111,6,FALSE))</f>
        <v/>
      </c>
      <c r="BH65" s="237" t="str">
        <f>IF(OR($E64="",$H64="",$O64&lt;=0,$Q$34="NO"),"",(($AX65/$AX$73)*BG65))</f>
        <v/>
      </c>
      <c r="BI65" s="237" t="str">
        <f>IF(OR($E64="",$H64="",$O64&lt;=0,$Q$34="NO"),"",VLOOKUP($E64,'Data source'!$B$4:$I$111,7,FALSE))</f>
        <v/>
      </c>
      <c r="BJ65" s="237" t="str">
        <f>IF(OR($E64="",$H64="",$O64&lt;=0,$Q$34="NO"),"",(BI65/100*BH65)*($AX65/$AX$73))</f>
        <v/>
      </c>
      <c r="BK65" s="237" t="str">
        <f>IF(OR($E64="",$H64="",$O64&lt;=0,$Q$34="NO"),"",VLOOKUP($E64,'Data source'!$B$4:$I$111,8,FALSE))</f>
        <v/>
      </c>
      <c r="BL65" s="241" t="str">
        <f>IF(OR($E64="",$H64="",$O64&lt;=0,$Q$34="NO"),"",(($AX65/$AX$73)*BK65))</f>
        <v/>
      </c>
      <c r="BM65" s="1242"/>
      <c r="BN65" s="240">
        <f>IF(OR($E64="",$H64="",$O64&lt;=0,$Q$34="NO"),0,VLOOKUP($E64,'Data source'!$B$4:$T$111,13,FALSE))</f>
        <v>0</v>
      </c>
      <c r="BO65" s="237">
        <f>IF(OR($E64="",$H64="",$O64&lt;=0,$Q$34="NO"),0,VLOOKUP($E64,'Data source'!$B$4:$T$111,14,FALSE))</f>
        <v>0</v>
      </c>
      <c r="BP65" s="237">
        <f>IF(OR($E64="",$H64="",$O64&lt;=0,$Q$34="NO"),0,VLOOKUP($E64,'Data source'!$B$4:$T$111,15,FALSE))</f>
        <v>0</v>
      </c>
      <c r="BQ65" s="237">
        <f>IF(OR($E64="",$H64="",$O64&lt;=0,$Q$34="NO"),0,VLOOKUP($E64,'Data source'!$B$4:$T$111,16,FALSE))</f>
        <v>0</v>
      </c>
      <c r="BR65" s="237">
        <f>IF(OR($E64="",$H64="",$O64&lt;=0,$Q$34="NO"),0,VLOOKUP($E64,'Data source'!$B$4:$T$111,17,FALSE))</f>
        <v>0</v>
      </c>
      <c r="BS65" s="237">
        <f>IF(OR($E64="",$H64="",$O64&lt;=0,$Q$34="NO"),0,VLOOKUP($E64,'Data source'!$B$4:$T$111,18,FALSE))</f>
        <v>0</v>
      </c>
      <c r="BT65" s="241">
        <f>IF(OR($E64="",$H64="",$O64&lt;=0,$Q$34="NO"),0,VLOOKUP($E64,'Data source'!$B$4:$T$111,19,FALSE))</f>
        <v>0</v>
      </c>
      <c r="BU65" s="1385"/>
      <c r="BV65" s="982">
        <f>IF(OR($E64="",$H64="",$O64&lt;=0,$Q$34="NO"),0,((43.498*$BN65)+(25.574*$BO65))-((28.206*$BP65)+(62.375*$BQ65)))*$AX65*10/1000</f>
        <v>0</v>
      </c>
      <c r="BW65" s="1242"/>
      <c r="BX65" s="240" t="str">
        <f>IF(OR($E64="",$H64="",$O64&lt;=0,$AK64&lt;=0,$Q$34="NO"),"",VLOOKUP($E64,'Data source'!$B$15:$M$104,12,FALSE))</f>
        <v/>
      </c>
      <c r="BY65" s="237" t="str">
        <f>IF(OR($E64="",$H64="",$O64&lt;=0,$AK64&lt;=0,$Q$34="NO"),"",IF($BX65="Dry",$AK64/$AW65/10,IF($BX65="Wet",$AK64/($AZ65/100)*$AW65/10,0)))</f>
        <v/>
      </c>
      <c r="BZ65" s="237" t="str">
        <f>IF(OR($E64="",$H64="",$O64&lt;=0,$AK64&lt;=0,AY65=0,$Q$34="NO"),"",IF(OR($AS65="-",$O64=0),"",BY65/AY65))</f>
        <v/>
      </c>
      <c r="CA65" s="1000" t="str">
        <f>IF(OR($E64="",$H64="",$O64&lt;=0,$AK64&lt;=0,$Q$34="NO"),"",IF(OR($I52="-",$AS65="-",$O64=0),"",($BY65*$O64)/100))</f>
        <v/>
      </c>
      <c r="CB65" s="1388"/>
      <c r="CC65" s="44"/>
      <c r="CD65" s="94"/>
      <c r="CE65" s="94"/>
      <c r="CF65" s="915"/>
      <c r="CG65" s="913"/>
      <c r="CH65" s="18"/>
      <c r="CI65" s="14"/>
      <c r="CJ65" s="645"/>
      <c r="CK65" s="645"/>
      <c r="CL65" s="645"/>
      <c r="CM65" s="13"/>
      <c r="CN65" s="8"/>
      <c r="CO65" s="14"/>
      <c r="CP65" s="13"/>
      <c r="CQ65" s="13"/>
      <c r="CR65" s="14"/>
      <c r="CS65" s="13"/>
      <c r="CT65" s="13"/>
      <c r="CU65" s="1023"/>
      <c r="CV65" s="1020"/>
      <c r="CW65" s="1019"/>
      <c r="CX65" s="1019"/>
      <c r="CY65" s="1019"/>
      <c r="CZ65" s="1017"/>
      <c r="DA65" s="1017"/>
      <c r="DB65" s="1017"/>
      <c r="DC65" s="1017"/>
      <c r="DD65" s="1017"/>
      <c r="DE65" s="1017"/>
      <c r="DF65" s="1017"/>
      <c r="DG65" s="1017"/>
      <c r="DH65" s="1017"/>
      <c r="DI65" s="1017"/>
      <c r="DJ65" s="1017"/>
      <c r="DK65" s="1017"/>
      <c r="DL65" s="1017"/>
      <c r="DM65" s="1017"/>
      <c r="DN65" s="1017"/>
      <c r="DO65" s="1017"/>
      <c r="DP65" s="1017"/>
    </row>
    <row r="66" spans="1:238" ht="9.75" customHeight="1" thickTop="1" thickBot="1">
      <c r="A66" s="75"/>
      <c r="B66" s="1081"/>
      <c r="C66" s="1302"/>
      <c r="D66" s="1306"/>
      <c r="E66" s="1306"/>
      <c r="F66" s="1306"/>
      <c r="G66" s="1307"/>
      <c r="H66" s="1306"/>
      <c r="I66" s="1306"/>
      <c r="J66" s="1574"/>
      <c r="K66" s="1159"/>
      <c r="L66" s="1224"/>
      <c r="M66" s="1577"/>
      <c r="N66" s="51"/>
      <c r="O66" s="1164"/>
      <c r="P66" s="1132"/>
      <c r="Q66" s="1577"/>
      <c r="R66" s="1080"/>
      <c r="S66" s="1036"/>
      <c r="T66" s="1146"/>
      <c r="U66" s="1036"/>
      <c r="V66" s="1366"/>
      <c r="AE66" s="1372"/>
      <c r="AF66" s="1289"/>
      <c r="AG66" s="105"/>
      <c r="AH66" s="1142"/>
      <c r="AI66" s="1036"/>
      <c r="AJ66" s="1109"/>
      <c r="AK66" s="1016"/>
      <c r="AL66" s="1155" t="str">
        <f>IF(OR($E65="-",$H65="-",$O66&lt;=0,$AK65&lt;=0,$Q$34="NO"),"",IF(OR($I42="-",$AS66="-",$O66=0),"",($BY66*$O66)/100))</f>
        <v/>
      </c>
      <c r="AM66" s="1071"/>
      <c r="AN66" s="1153"/>
      <c r="AO66" s="1152"/>
      <c r="AP66" s="1071"/>
      <c r="AQ66" s="1199"/>
      <c r="AR66" s="1154"/>
      <c r="AS66" s="1167"/>
      <c r="AT66" s="75"/>
      <c r="AU66" s="1400"/>
      <c r="AV66" s="1383"/>
      <c r="AW66" s="1389"/>
      <c r="AX66" s="1390"/>
      <c r="AY66" s="1390"/>
      <c r="AZ66" s="1391"/>
      <c r="BA66" s="1391"/>
      <c r="BB66" s="1392"/>
      <c r="BC66" s="1390"/>
      <c r="BD66" s="1390"/>
      <c r="BE66" s="1390"/>
      <c r="BF66" s="1390"/>
      <c r="BG66" s="1390"/>
      <c r="BH66" s="1390"/>
      <c r="BI66" s="1390"/>
      <c r="BJ66" s="1390"/>
      <c r="BK66" s="1390"/>
      <c r="BL66" s="1390"/>
      <c r="BM66" s="1242"/>
      <c r="BN66" s="1397"/>
      <c r="BO66" s="1397"/>
      <c r="BP66" s="1397"/>
      <c r="BQ66" s="1397"/>
      <c r="BR66" s="1397"/>
      <c r="BS66" s="1397"/>
      <c r="BT66" s="1397"/>
      <c r="BU66" s="1385"/>
      <c r="BV66" s="1404"/>
      <c r="BW66" s="1397"/>
      <c r="BX66" s="1402"/>
      <c r="BY66" s="1390"/>
      <c r="BZ66" s="1238"/>
      <c r="CA66" s="1403"/>
      <c r="CB66" s="1388"/>
      <c r="CC66" s="44"/>
      <c r="CD66" s="94"/>
      <c r="CE66" s="94"/>
      <c r="CF66" s="915"/>
      <c r="CG66" s="913"/>
      <c r="CH66" s="18"/>
      <c r="CI66" s="14"/>
      <c r="CJ66" s="645"/>
      <c r="CK66" s="645"/>
      <c r="CL66" s="645"/>
      <c r="CM66" s="13"/>
      <c r="CN66" s="8"/>
      <c r="CO66" s="14"/>
      <c r="CP66" s="13"/>
      <c r="CQ66" s="13"/>
      <c r="CR66" s="14"/>
      <c r="CS66" s="13"/>
      <c r="CT66" s="13"/>
      <c r="CU66" s="1023"/>
      <c r="CV66" s="1020"/>
      <c r="CW66" s="1019"/>
      <c r="CX66" s="1019"/>
      <c r="CY66" s="1019"/>
      <c r="CZ66" s="1017"/>
      <c r="DA66" s="1017"/>
      <c r="DB66" s="1017"/>
      <c r="DC66" s="1017"/>
      <c r="DD66" s="1017"/>
      <c r="DE66" s="1017"/>
      <c r="DF66" s="1017"/>
      <c r="DG66" s="1017"/>
      <c r="DH66" s="1017"/>
      <c r="DI66" s="1017"/>
      <c r="DJ66" s="1017"/>
      <c r="DK66" s="1017"/>
      <c r="DL66" s="1017"/>
      <c r="DM66" s="1017"/>
      <c r="DN66" s="1017"/>
      <c r="DO66" s="1017"/>
      <c r="DP66" s="1017"/>
    </row>
    <row r="67" spans="1:238" ht="15" customHeight="1" thickTop="1">
      <c r="A67" s="75"/>
      <c r="B67" s="1662"/>
      <c r="C67" s="1663"/>
      <c r="D67" s="1813" t="str">
        <f>IF(C67="Minerals","i","")</f>
        <v/>
      </c>
      <c r="E67" s="1665"/>
      <c r="F67" s="1666"/>
      <c r="H67" s="1665"/>
      <c r="I67" s="1666"/>
      <c r="J67" s="1675" t="str">
        <f>IF(OR($C67="",$E67="",$H67=""),"",VLOOKUP($H67,'Data source'!$B$128:$C$188,2,FALSE))</f>
        <v/>
      </c>
      <c r="K67" s="1671"/>
      <c r="L67" s="882" t="str">
        <f>IF(OR(C67="",E67="",H67=""),"",K67)</f>
        <v/>
      </c>
      <c r="M67" s="1669" t="str">
        <f>IF(AX67=0,"",AX67)</f>
        <v/>
      </c>
      <c r="N67" s="51"/>
      <c r="O67" s="1681"/>
      <c r="P67" s="882" t="str">
        <f>IF(OR(C67="",E67="",H67=""),"",O67)</f>
        <v/>
      </c>
      <c r="Q67" s="1669" t="str">
        <f>IF(AX68=0,"",AX68)</f>
        <v/>
      </c>
      <c r="R67" s="1486" t="str">
        <f>IF(OR(N68="&gt;3",R68="&gt;3"),"i","")</f>
        <v/>
      </c>
      <c r="S67" s="1036"/>
      <c r="T67" s="1146"/>
      <c r="U67" s="1036"/>
      <c r="V67" s="1366"/>
      <c r="W67" s="1725" t="s">
        <v>258</v>
      </c>
      <c r="X67" s="1727" t="str">
        <f>IF(Y12="No","",IF($H$7="early",1.2,IF($H$7="mid",1.2,IF($H$7="late",1.2,IF($H$7="dry",IF(AF16="YES",1.2,1.2))))))</f>
        <v/>
      </c>
      <c r="Y67" s="1729" t="s">
        <v>410</v>
      </c>
      <c r="Z67" s="1752"/>
      <c r="AA67" s="1723" t="str">
        <f>IF($K$71&gt;0,BO72,"")</f>
        <v/>
      </c>
      <c r="AB67" s="1860"/>
      <c r="AC67" s="1723" t="str">
        <f>IF(AND($Q$34="YES",$O$71&gt;0),BO73,"")</f>
        <v/>
      </c>
      <c r="AD67" s="1861"/>
      <c r="AE67" s="1372"/>
      <c r="AF67" s="1286" t="str">
        <f>IF($C67="Hay_Silage","FT1_",IF($C67="Concentrates","FT2_",IF($C67="By_products","FT3_",IF($C67="Fodder_beet_Default","FT4_",IF($C67="Other_Crops_Default","FT5_",IF($C67="Minerals","FT6_",IF($C67="Custom_Feeds_Minerals","FT7_",IF($C67="Custom_Bulb_Crops","FT8_","-"))))))))</f>
        <v>-</v>
      </c>
      <c r="AG67" s="105"/>
      <c r="AH67" s="1142"/>
      <c r="AI67" s="1036"/>
      <c r="AJ67" s="1109"/>
      <c r="AK67" s="1706"/>
      <c r="AL67" s="1704" t="str">
        <f>IF(OR($E67="",$H67=""),"",IF(AY67="",IF(AY68&gt;0,BZ68,0),BZ67))</f>
        <v/>
      </c>
      <c r="AM67" s="1098"/>
      <c r="AN67" s="1702" t="str">
        <f>IF(OR($E67="",$H67="",$K67="",$O$6=""),"",($K67/1000)*$O$6)</f>
        <v/>
      </c>
      <c r="AO67" s="1700" t="str">
        <f>CA67</f>
        <v/>
      </c>
      <c r="AP67" s="1098"/>
      <c r="AQ67" s="1702" t="str">
        <f>IF(OR($E67="",$H67="",$O67="",$O$6=""),"",($O67/1000)*$O$6)</f>
        <v/>
      </c>
      <c r="AR67" s="1700" t="str">
        <f>CA68</f>
        <v/>
      </c>
      <c r="AS67" s="1167"/>
      <c r="AT67" s="75"/>
      <c r="AU67" s="1698" t="str">
        <f>IF(E67="","",E67)</f>
        <v/>
      </c>
      <c r="AV67" s="1187" t="str">
        <f>IF(L67="","",1)</f>
        <v/>
      </c>
      <c r="AW67" s="1379" t="str">
        <f>IF(OR($E67="",$H67="",$K67&lt;=0),"",VLOOKUP($H67,'Data source'!$B$128:$C$188,2,FALSE))</f>
        <v/>
      </c>
      <c r="AX67" s="434">
        <f>IF(OR($E67="",$H67="",$K67&lt;=0),0,K67*AW67)</f>
        <v>0</v>
      </c>
      <c r="AY67" s="1380" t="str">
        <f>IF(OR($E67="",$H67="",$K67=0),"",VLOOKUP($E67,'Data source'!$B$4:$I$111,3,FALSE))</f>
        <v/>
      </c>
      <c r="AZ67" s="1380" t="str">
        <f>IF(OR($E67="",$H67="",$K67=0),"",VLOOKUP($E67,'Data source'!$B$4:$I$111,2,FALSE))</f>
        <v/>
      </c>
      <c r="BA67" s="1378" t="str">
        <f>IF(OR($E67="",$H67="",$K67&lt;=0),"",AX67*AY67)</f>
        <v/>
      </c>
      <c r="BB67" s="1392"/>
      <c r="BC67" s="1380" t="str">
        <f>IF(OR($E67="",$H67="",$K67=0),"",VLOOKUP($E67,'Data source'!$B$4:$I$111,4,FALSE))</f>
        <v/>
      </c>
      <c r="BD67" s="1377" t="str">
        <f>IF(OR($E67="",$H67="",$K67&lt;=0),"",(($AX67/$AX$72)*BC67))</f>
        <v/>
      </c>
      <c r="BE67" s="1380" t="str">
        <f>IF(OR($E67="",$H67="",$K67=0),"",VLOOKUP($E67,'Data source'!$B$4:$I$111,5,FALSE))</f>
        <v/>
      </c>
      <c r="BF67" s="1377" t="str">
        <f>IF(OR($E67="",$H67="",$K67&lt;=0),"",(($AX67/$AX$72)*BE67))</f>
        <v/>
      </c>
      <c r="BG67" s="1380" t="str">
        <f>IF(OR($E67="",$H67="",$K67=0),"",VLOOKUP($E67,'Data source'!$B$4:$I$111,6,FALSE))</f>
        <v/>
      </c>
      <c r="BH67" s="1377" t="str">
        <f>IF(OR($E67="",$H67="",$K67&lt;=0),"",(($AX67/$AX$72)*BG67))</f>
        <v/>
      </c>
      <c r="BI67" s="1380" t="str">
        <f>IF(OR($E67="",$H67="",$K67=0),"",VLOOKUP($E67,'Data source'!$B$4:$I$111,7,FALSE))</f>
        <v/>
      </c>
      <c r="BJ67" s="1377" t="str">
        <f>IF(OR($E67="",$H67="",$K67&lt;=0),"",(BI67/100*BH67)*($AX67/$AX$72))</f>
        <v/>
      </c>
      <c r="BK67" s="1380" t="str">
        <f>IF(OR($E67="",$H67="",$K67=0),"",VLOOKUP($E67,'Data source'!$B$4:$I$111,8,FALSE))</f>
        <v/>
      </c>
      <c r="BL67" s="1381" t="str">
        <f>IF(OR($E67="",$H67="",$K67&lt;=0),"",(($AX67/$AX$72)*BK67))</f>
        <v/>
      </c>
      <c r="BM67" s="1242"/>
      <c r="BN67" s="1380">
        <f>IF(OR($E67="",$H67="",$K67=0),0,VLOOKUP($E67,'Data source'!$B$4:$T$111,13,FALSE))</f>
        <v>0</v>
      </c>
      <c r="BO67" s="1380">
        <f>IF(OR($E67="",$H67="",$K67=0),0,VLOOKUP($E67,'Data source'!$B$4:$T$111,14,FALSE))</f>
        <v>0</v>
      </c>
      <c r="BP67" s="1380">
        <f>IF(OR($E67="",$H67="",$K67=0),0,VLOOKUP($E67,'Data source'!$B$4:$T$111,15,FALSE))</f>
        <v>0</v>
      </c>
      <c r="BQ67" s="1380">
        <f>IF(OR($E67="",$H67="",$K67=0),0,VLOOKUP($E67,'Data source'!$B$4:$T$111,16,FALSE))</f>
        <v>0</v>
      </c>
      <c r="BR67" s="1380">
        <f>IF(OR($E67="",$H67="",$K67=0),0,VLOOKUP($E67,'Data source'!$B$4:$T$111,17,FALSE))</f>
        <v>0</v>
      </c>
      <c r="BS67" s="1380">
        <f>IF(OR($E67="",$H67="",$K67=0),0,VLOOKUP($E67,'Data source'!$B$4:$T$111,18,FALSE))</f>
        <v>0</v>
      </c>
      <c r="BT67" s="1408">
        <f>IF(OR($E67="",$H67="",$K67=0),0,VLOOKUP($E67,'Data source'!$B$4:$T$111,19,FALSE))</f>
        <v>0</v>
      </c>
      <c r="BU67" s="1385"/>
      <c r="BV67" s="1405">
        <f>IF(OR($E67="",$H67="",$K67&lt;=0),0,((43.498*$BN67)+(25.574*$BO67))-((28.206*$BP67)+(62.375*$BQ67)))*$AX67*10/1000</f>
        <v>0</v>
      </c>
      <c r="BW67" s="1242"/>
      <c r="BX67" s="1380" t="str">
        <f>IF(OR($E67="",$H67="",$K67&lt;=0,$AK67&lt;=0),"",VLOOKUP($E67,'Data source'!$B$15:$M$104,12,FALSE))</f>
        <v/>
      </c>
      <c r="BY67" s="1377" t="str">
        <f>IF(OR($E67="",$H67="",$K67&lt;=0,$AK67&lt;=0),"",IF($BX67="Dry",$AK67/$AW67/10,IF($BX67="Wet",$AK67/($AZ67/100)*$AW67/10,0)))</f>
        <v/>
      </c>
      <c r="BZ67" s="1377" t="str">
        <f>IF(OR($E67="",$H67="",$K67&lt;=0,$AK67&lt;=0,AY72=0),"",BY67/AY67)</f>
        <v/>
      </c>
      <c r="CA67" s="1407" t="str">
        <f>IF(OR($E67="",$H67="",$K67&lt;=0,$AK67&lt;=0),"",($BY67*$K67)/100)</f>
        <v/>
      </c>
      <c r="CB67" s="1388"/>
      <c r="CC67" s="44"/>
      <c r="CD67" s="94"/>
      <c r="CE67" s="94"/>
      <c r="CF67" s="915"/>
      <c r="CG67" s="913"/>
      <c r="CH67" s="18"/>
      <c r="CI67" s="14"/>
      <c r="CJ67" s="645"/>
      <c r="CK67" s="645"/>
      <c r="CL67" s="645"/>
      <c r="CM67" s="13"/>
      <c r="CN67" s="13"/>
      <c r="CO67" s="14"/>
      <c r="CP67" s="13"/>
      <c r="CQ67" s="13"/>
      <c r="CR67" s="14"/>
      <c r="CS67" s="13"/>
      <c r="CT67" s="13"/>
      <c r="CU67" s="1023"/>
      <c r="CV67" s="1020"/>
      <c r="CW67" s="1019"/>
      <c r="CX67" s="1019"/>
      <c r="CY67" s="1019"/>
      <c r="CZ67" s="1017"/>
      <c r="DA67" s="1017"/>
      <c r="DB67" s="1017"/>
      <c r="DC67" s="1017"/>
      <c r="DD67" s="1017"/>
      <c r="DE67" s="1017"/>
      <c r="DF67" s="1017"/>
      <c r="DG67" s="1017"/>
      <c r="DH67" s="1017"/>
      <c r="DI67" s="1017"/>
      <c r="DJ67" s="1017"/>
      <c r="DK67" s="1017"/>
      <c r="DL67" s="1017"/>
      <c r="DM67" s="1017"/>
      <c r="DN67" s="1017"/>
      <c r="DO67" s="1017"/>
      <c r="DP67" s="1017"/>
    </row>
    <row r="68" spans="1:238" ht="15" customHeight="1" thickBot="1">
      <c r="A68" s="75"/>
      <c r="B68" s="1662"/>
      <c r="C68" s="1664"/>
      <c r="D68" s="1813"/>
      <c r="E68" s="1667"/>
      <c r="F68" s="1668"/>
      <c r="G68" s="1308"/>
      <c r="H68" s="1667"/>
      <c r="I68" s="1668"/>
      <c r="J68" s="1676"/>
      <c r="K68" s="1672"/>
      <c r="L68" s="1131"/>
      <c r="M68" s="1670"/>
      <c r="N68" s="1485" t="str">
        <f>IF(OR($H$7="Dry", K67=""),"",IF(AND(E67="PKE",K67&gt;3),"&gt;3",""))</f>
        <v/>
      </c>
      <c r="O68" s="1682"/>
      <c r="P68" s="1272"/>
      <c r="Q68" s="1670"/>
      <c r="R68" s="1487" t="str">
        <f>IF(OR($H$7="Dry", O67=""),"",IF(AND(E67="PKE",O67&gt;3),"&gt;3",""))</f>
        <v/>
      </c>
      <c r="S68" s="1036"/>
      <c r="T68" s="1146"/>
      <c r="U68" s="1036"/>
      <c r="V68" s="1366"/>
      <c r="W68" s="1726"/>
      <c r="X68" s="1728"/>
      <c r="Y68" s="1729"/>
      <c r="Z68" s="1752"/>
      <c r="AA68" s="1724"/>
      <c r="AB68" s="1860"/>
      <c r="AC68" s="1724"/>
      <c r="AD68" s="1861"/>
      <c r="AE68" s="1372"/>
      <c r="AF68" s="1289"/>
      <c r="AG68" s="105"/>
      <c r="AH68" s="1142"/>
      <c r="AI68" s="1036"/>
      <c r="AJ68" s="1110"/>
      <c r="AK68" s="1707"/>
      <c r="AL68" s="1705"/>
      <c r="AM68" s="1103"/>
      <c r="AN68" s="1731"/>
      <c r="AO68" s="1730"/>
      <c r="AP68" s="1103"/>
      <c r="AQ68" s="1731"/>
      <c r="AR68" s="1730"/>
      <c r="AS68" s="1167"/>
      <c r="AT68" s="75"/>
      <c r="AU68" s="1699"/>
      <c r="AV68" s="1188" t="str">
        <f>IF(OR(P67="",$Q$34="NO"),"",2)</f>
        <v/>
      </c>
      <c r="AW68" s="239" t="str">
        <f>IF(OR($E67="",$H67="",$O67&lt;=0,$Q$34="NO"),"",VLOOKUP($H67,'Data source'!$B$128:$C$188,2,FALSE))</f>
        <v/>
      </c>
      <c r="AX68" s="237">
        <f>IF(OR($E67="",$H67="",$O67&lt;=0,$Q$34="NO"),0,$O67*$AW68)</f>
        <v>0</v>
      </c>
      <c r="AY68" s="237" t="str">
        <f>IF(OR($E67="",$H67="",$O67&lt;=0,$Q$34="NO"),"",VLOOKUP($E67,'Data source'!$B$4:$I$111,3,FALSE))</f>
        <v/>
      </c>
      <c r="AZ68" s="237" t="str">
        <f>IF(OR($E67="",$H67="",$O67&lt;=0,$Q$34="NO"),"",VLOOKUP($E67,'Data source'!$B$4:$I$111,2,FALSE))</f>
        <v/>
      </c>
      <c r="BA68" s="238" t="str">
        <f>IF(OR($E67="",$H67="",$O67&lt;=0,$Q$34="NO"),"",$AX68*$AY68)</f>
        <v/>
      </c>
      <c r="BB68" s="1392"/>
      <c r="BC68" s="240" t="str">
        <f>IF(OR($E67="",$H67="",$O67&lt;=0,$Q$34="NO"),"",VLOOKUP($E67,'Data source'!$B$4:$I$111,4,FALSE))</f>
        <v/>
      </c>
      <c r="BD68" s="237" t="str">
        <f>IF(OR($E67="",$H67="",$O67&lt;=0,$Q$34="NO"),"",(($AX68/$AX$73)*$BC68))</f>
        <v/>
      </c>
      <c r="BE68" s="237" t="str">
        <f>IF(OR($E67="",$H67="",$O67&lt;=0,$Q$34="NO"),"",VLOOKUP($E67,'Data source'!$B$4:$I$111,5,FALSE))</f>
        <v/>
      </c>
      <c r="BF68" s="237" t="str">
        <f>IF(OR($E67="",$H67="",$O67&lt;=0,$Q$34="NO"),"",(($AX68/$AX$73)*BE68))</f>
        <v/>
      </c>
      <c r="BG68" s="237" t="str">
        <f>IF(OR($E67="",$H67="",$O67&lt;=0,$Q$34="NO"),"",VLOOKUP($E67,'Data source'!$B$4:$I$111,6,FALSE))</f>
        <v/>
      </c>
      <c r="BH68" s="237" t="str">
        <f>IF(OR($E67="",$H67="",$O67&lt;=0,$Q$34="NO"),"",(($AX68/$AX$73)*BG68))</f>
        <v/>
      </c>
      <c r="BI68" s="237" t="str">
        <f>IF(OR($E67="",$H67="",$O67&lt;=0,$Q$34="NO"),"",VLOOKUP($E67,'Data source'!$B$4:$I$111,7,FALSE))</f>
        <v/>
      </c>
      <c r="BJ68" s="237" t="str">
        <f>IF(OR($E67="",$H67="",$O67&lt;=0,$Q$34="NO"),"",(BI68/100*BH68)*($AX68/$AX$73))</f>
        <v/>
      </c>
      <c r="BK68" s="237" t="str">
        <f>IF(OR($E67="",$H67="",$O67&lt;=0,$Q$34="NO"),"",VLOOKUP($E67,'Data source'!$B$4:$I$111,8,FALSE))</f>
        <v/>
      </c>
      <c r="BL68" s="241" t="str">
        <f>IF(OR($E67="",$H67="",$O67&lt;=0,$Q$34="NO"),"",(($AX68/$AX$73)*BK68))</f>
        <v/>
      </c>
      <c r="BM68" s="1242"/>
      <c r="BN68" s="240">
        <f>IF(OR($E67="",$H67="",$O67&lt;=0,$Q$34="NO"),0,VLOOKUP($E67,'Data source'!$B$4:$T$111,13,FALSE))</f>
        <v>0</v>
      </c>
      <c r="BO68" s="237">
        <f>IF(OR($E67="",$H67="",$O67&lt;=0,$Q$34="NO"),0,VLOOKUP($E67,'Data source'!$B$4:$T$111,14,FALSE))</f>
        <v>0</v>
      </c>
      <c r="BP68" s="237">
        <f>IF(OR($E67="",$H67="",$O67&lt;=0,$Q$34="NO"),0,VLOOKUP($E67,'Data source'!$B$4:$T$111,15,FALSE))</f>
        <v>0</v>
      </c>
      <c r="BQ68" s="237">
        <f>IF(OR($E67="",$H67="",$O67&lt;=0,$Q$34="NO"),0,VLOOKUP($E67,'Data source'!$B$4:$T$111,16,FALSE))</f>
        <v>0</v>
      </c>
      <c r="BR68" s="237">
        <f>IF(OR($E67="",$H67="",$O67&lt;=0,$Q$34="NO"),0,VLOOKUP($E67,'Data source'!$B$4:$T$111,17,FALSE))</f>
        <v>0</v>
      </c>
      <c r="BS68" s="237">
        <f>IF(OR($E67="",$H67="",$O67&lt;=0,$Q$34="NO"),0,VLOOKUP($E67,'Data source'!$B$4:$T$111,18,FALSE))</f>
        <v>0</v>
      </c>
      <c r="BT68" s="241">
        <f>IF(OR($E67="",$H67="",$O67&lt;=0,$Q$34="NO"),0,VLOOKUP($E67,'Data source'!$B$4:$T$111,19,FALSE))</f>
        <v>0</v>
      </c>
      <c r="BU68" s="1385"/>
      <c r="BV68" s="982">
        <f>IF(OR($E67="",$H67="",$O67&lt;=0,$Q$34="NO"),0,((43.498*$BN68)+(25.574*$BO68))-((28.206*$BP68)+(62.375*$BQ68)))*$AX68*10/1000</f>
        <v>0</v>
      </c>
      <c r="BW68" s="1392"/>
      <c r="BX68" s="240" t="str">
        <f>IF(OR($E67="",$H67="",$O67&lt;=0,$AK67&lt;=0,$Q$34="NO"),"",VLOOKUP($E67,'Data source'!$B$15:$M$104,12,FALSE))</f>
        <v/>
      </c>
      <c r="BY68" s="237" t="str">
        <f>IF(OR($E67="",$H67="",$O67&lt;=0,$AK67&lt;=0,$Q$34="NO"),"",IF($BX68="Dry",$AK67/$AW68/10,IF($BX68="Wet",$AK67/($AZ68/100)*$AW68/10,0)))</f>
        <v/>
      </c>
      <c r="BZ68" s="237" t="str">
        <f>IF(OR($E67="",$H67="",$O67&lt;=0,$AK67&lt;=0,AY68=0,$Q$34="NO"),"",IF(OR($AS68="-",$O67=0),"",BY68/AY68))</f>
        <v/>
      </c>
      <c r="CA68" s="1000" t="str">
        <f>IF(OR($E67="",$H67="",$O67&lt;=0,$AK67&lt;=0,$Q$34="NO"),"",IF(OR($I55="-",$AS68="-",$O67=0),"",($BY68*$O67)/100))</f>
        <v/>
      </c>
      <c r="CB68" s="1388"/>
      <c r="CC68" s="44"/>
      <c r="CD68" s="94"/>
      <c r="CE68" s="94"/>
      <c r="CF68" s="44"/>
      <c r="CG68" s="44"/>
      <c r="CJ68" s="645"/>
      <c r="CK68" s="645"/>
      <c r="CL68" s="645"/>
      <c r="CU68" s="1017"/>
      <c r="CV68" s="1017"/>
      <c r="CW68" s="1017"/>
      <c r="CX68" s="1017"/>
      <c r="CY68" s="1017"/>
      <c r="CZ68" s="1017"/>
      <c r="DA68" s="1017"/>
      <c r="DB68" s="1017"/>
      <c r="DC68" s="1017"/>
      <c r="DD68" s="1017"/>
      <c r="DE68" s="1017"/>
      <c r="DF68" s="1017"/>
      <c r="DG68" s="1017"/>
      <c r="DH68" s="1017"/>
      <c r="DI68" s="1017"/>
      <c r="DJ68" s="1017"/>
      <c r="DK68" s="1017"/>
      <c r="DL68" s="1017"/>
      <c r="DM68" s="1017"/>
      <c r="DN68" s="1017"/>
      <c r="DO68" s="1017"/>
      <c r="DP68" s="1017"/>
    </row>
    <row r="69" spans="1:238" ht="7.5" customHeight="1" thickTop="1">
      <c r="A69" s="75"/>
      <c r="B69" s="1227"/>
      <c r="C69" s="1011"/>
      <c r="D69" s="1482"/>
      <c r="E69" s="1012"/>
      <c r="F69" s="1012"/>
      <c r="G69" s="882"/>
      <c r="H69" s="1012"/>
      <c r="I69" s="1012"/>
      <c r="J69" s="1124"/>
      <c r="K69" s="1659" t="s">
        <v>433</v>
      </c>
      <c r="L69" s="14"/>
      <c r="M69" s="1801" t="s">
        <v>434</v>
      </c>
      <c r="N69" s="997"/>
      <c r="O69" s="1659" t="s">
        <v>433</v>
      </c>
      <c r="P69" s="1010"/>
      <c r="Q69" s="1801" t="s">
        <v>434</v>
      </c>
      <c r="R69" s="1032"/>
      <c r="S69" s="1036"/>
      <c r="T69" s="1146"/>
      <c r="U69" s="1036"/>
      <c r="V69" s="1366"/>
      <c r="AE69" s="1372"/>
      <c r="AF69" s="1289"/>
      <c r="AG69" s="105"/>
      <c r="AH69" s="1142"/>
      <c r="AI69" s="1036"/>
      <c r="AJ69" s="1168"/>
      <c r="AK69" s="75"/>
      <c r="AL69" s="75"/>
      <c r="AM69" s="75"/>
      <c r="AN69" s="75"/>
      <c r="AO69" s="1095"/>
      <c r="AP69" s="1095"/>
      <c r="AQ69" s="1192"/>
      <c r="AR69" s="1193"/>
      <c r="AS69" s="1167"/>
      <c r="AT69" s="75"/>
      <c r="AU69" s="1398"/>
      <c r="AV69" s="1399"/>
      <c r="AW69" s="1399"/>
      <c r="AX69" s="1399"/>
      <c r="AY69" s="1399"/>
      <c r="AZ69" s="1399"/>
      <c r="BA69" s="1399"/>
      <c r="BB69" s="1399"/>
      <c r="BC69" s="1399"/>
      <c r="BD69" s="1399"/>
      <c r="BE69" s="1399"/>
      <c r="BF69" s="1399"/>
      <c r="BG69" s="1399"/>
      <c r="BH69" s="1399"/>
      <c r="BI69" s="1399"/>
      <c r="BJ69" s="1399"/>
      <c r="BK69" s="1399"/>
      <c r="BL69" s="1399"/>
      <c r="BM69" s="1399"/>
      <c r="BN69" s="1399"/>
      <c r="BO69" s="1399"/>
      <c r="BP69" s="1399"/>
      <c r="BQ69" s="1399"/>
      <c r="BR69" s="1399"/>
      <c r="BS69" s="1399"/>
      <c r="BT69" s="1399"/>
      <c r="BU69" s="1399"/>
      <c r="BV69" s="1399"/>
      <c r="BW69" s="1399"/>
      <c r="BX69" s="1399"/>
      <c r="BY69" s="1399"/>
      <c r="BZ69" s="1399"/>
      <c r="CA69" s="1399"/>
      <c r="CB69" s="1388"/>
      <c r="CC69" s="44"/>
      <c r="CD69" s="94"/>
      <c r="CE69" s="94"/>
      <c r="CF69" s="44"/>
      <c r="CG69" s="44"/>
      <c r="CJ69" s="645"/>
      <c r="CK69" s="645"/>
      <c r="CL69" s="645"/>
      <c r="CU69" s="1017"/>
      <c r="CV69" s="1017"/>
      <c r="CW69" s="1017"/>
      <c r="CX69" s="1017"/>
      <c r="CY69" s="1017"/>
      <c r="CZ69" s="1017"/>
      <c r="DA69" s="1017"/>
      <c r="DB69" s="1017"/>
      <c r="DC69" s="1017"/>
      <c r="DD69" s="1017"/>
      <c r="DE69" s="1017"/>
      <c r="DF69" s="1017"/>
      <c r="DG69" s="1017"/>
      <c r="DH69" s="1017"/>
      <c r="DI69" s="1017"/>
      <c r="DJ69" s="1017"/>
      <c r="DK69" s="1017"/>
      <c r="DL69" s="1017"/>
      <c r="DM69" s="1017"/>
      <c r="DN69" s="1017"/>
      <c r="DO69" s="1017"/>
      <c r="DP69" s="1017"/>
    </row>
    <row r="70" spans="1:238" ht="15" customHeight="1">
      <c r="A70" s="75"/>
      <c r="B70" s="1227"/>
      <c r="C70" s="1361"/>
      <c r="D70" s="1361"/>
      <c r="E70" s="1361"/>
      <c r="F70" s="1361"/>
      <c r="G70" s="1361"/>
      <c r="H70" s="1361"/>
      <c r="I70" s="1361"/>
      <c r="J70" s="994"/>
      <c r="K70" s="1660"/>
      <c r="L70" s="1042"/>
      <c r="M70" s="1802"/>
      <c r="N70" s="1013"/>
      <c r="O70" s="1660"/>
      <c r="P70" s="1042"/>
      <c r="Q70" s="1802"/>
      <c r="R70" s="1082"/>
      <c r="S70" s="1036"/>
      <c r="T70" s="1146"/>
      <c r="U70" s="1036"/>
      <c r="V70" s="1366"/>
      <c r="W70" s="1719" t="s">
        <v>259</v>
      </c>
      <c r="X70" s="1721" t="str">
        <f>IF(Y12="No","",IF($H$7="early",0.25,IF($H$7="mid",0.25,IF($H$7="late",0.25,IF($H$7="dry",IF(AF16="YES",0.25,0.25))))))</f>
        <v/>
      </c>
      <c r="Y70" s="1729" t="s">
        <v>410</v>
      </c>
      <c r="Z70" s="1859"/>
      <c r="AA70" s="1723" t="str">
        <f>IF($K$71&gt;0,BP72,"")</f>
        <v/>
      </c>
      <c r="AB70" s="1732"/>
      <c r="AC70" s="1723" t="str">
        <f>IF(AND($Q$34="YES",$O$71&gt;0),BP73,"")</f>
        <v/>
      </c>
      <c r="AD70" s="1858"/>
      <c r="AE70" s="1372"/>
      <c r="AF70" s="1286"/>
      <c r="AG70" s="105"/>
      <c r="AH70" s="1142"/>
      <c r="AI70" s="1036"/>
      <c r="AJ70" s="1168"/>
      <c r="AK70" s="75"/>
      <c r="AL70" s="75"/>
      <c r="AM70" s="75"/>
      <c r="AN70" s="1718" t="s">
        <v>201</v>
      </c>
      <c r="AO70" s="1718"/>
      <c r="AQ70" s="1718" t="s">
        <v>202</v>
      </c>
      <c r="AR70" s="1718"/>
      <c r="AS70" s="1167"/>
      <c r="AT70" s="75"/>
      <c r="AU70" s="1138"/>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1176"/>
      <c r="CC70" s="44"/>
      <c r="CD70" s="94"/>
      <c r="CE70" s="94"/>
      <c r="CF70" s="44"/>
      <c r="CG70" s="44"/>
      <c r="CJ70" s="645"/>
      <c r="CK70" s="645"/>
      <c r="CL70" s="645"/>
      <c r="CU70" s="1017"/>
      <c r="CV70" s="1017"/>
      <c r="CW70" s="1017"/>
      <c r="CX70" s="1017"/>
      <c r="CY70" s="1017"/>
      <c r="CZ70" s="1017"/>
      <c r="DA70" s="1017"/>
      <c r="DB70" s="1017"/>
      <c r="DC70" s="1017"/>
      <c r="DD70" s="1017"/>
      <c r="DE70" s="1017"/>
      <c r="DF70" s="1017"/>
      <c r="DG70" s="1017"/>
      <c r="DH70" s="1017"/>
      <c r="DI70" s="1017"/>
      <c r="DJ70" s="1017"/>
      <c r="DK70" s="1017"/>
      <c r="DL70" s="1017"/>
      <c r="DM70" s="1017"/>
      <c r="DN70" s="1017"/>
      <c r="DO70" s="1017"/>
      <c r="DP70" s="1017"/>
    </row>
    <row r="71" spans="1:238" ht="8.25" customHeight="1" thickBot="1">
      <c r="A71" s="75"/>
      <c r="B71" s="1079"/>
      <c r="C71" s="1814"/>
      <c r="D71" s="903"/>
      <c r="E71" s="1812" t="s">
        <v>435</v>
      </c>
      <c r="F71" s="1812"/>
      <c r="G71" s="1812"/>
      <c r="H71" s="1812"/>
      <c r="I71" s="1812"/>
      <c r="J71" s="66"/>
      <c r="K71" s="1088">
        <f>SUM(L40,L43,L46,L49,L52,L55,L58,L61,L64,L67)</f>
        <v>0</v>
      </c>
      <c r="L71" s="30"/>
      <c r="M71" s="1577">
        <f>SUM(M40,M43,M46,M49,M52,M55,M58,M61,M64,M67)</f>
        <v>0</v>
      </c>
      <c r="N71" s="1013"/>
      <c r="O71" s="1088" t="str">
        <f>IF(Q34="NO","",SUM(P40,P43,P46,P49,P52,P55,P58,P61,P64,P67))</f>
        <v/>
      </c>
      <c r="P71" s="30"/>
      <c r="Q71" s="1577" t="str">
        <f>IF($Q$34="YES",SUM(Q40,Q43,Q46,Q49,Q52,Q55,Q58,Q61,Q64,Q67),"")</f>
        <v/>
      </c>
      <c r="R71" s="1082"/>
      <c r="S71" s="1036"/>
      <c r="T71" s="1146"/>
      <c r="U71" s="1036"/>
      <c r="V71" s="1368"/>
      <c r="W71" s="1720"/>
      <c r="X71" s="1722"/>
      <c r="Y71" s="1729"/>
      <c r="Z71" s="1859"/>
      <c r="AA71" s="1724"/>
      <c r="AB71" s="1732"/>
      <c r="AC71" s="1724"/>
      <c r="AD71" s="1858"/>
      <c r="AE71" s="1372"/>
      <c r="AF71" s="1289"/>
      <c r="AG71" s="105"/>
      <c r="AH71" s="1142"/>
      <c r="AI71" s="1036"/>
      <c r="AJ71" s="1168"/>
      <c r="AK71" s="75"/>
      <c r="AL71" s="75"/>
      <c r="AM71" s="75"/>
      <c r="AN71" s="75"/>
      <c r="AO71" s="914"/>
      <c r="AQ71" s="44"/>
      <c r="AR71" s="914"/>
      <c r="AS71" s="1167"/>
      <c r="AT71" s="75"/>
      <c r="AU71" s="1138"/>
      <c r="AV71" s="1179"/>
      <c r="AW71" s="1179"/>
      <c r="AX71" s="1179"/>
      <c r="AY71" s="1179"/>
      <c r="AZ71" s="1179"/>
      <c r="BA71" s="1179"/>
      <c r="BB71" s="1179"/>
      <c r="BC71" s="1179"/>
      <c r="BD71" s="1179"/>
      <c r="BE71" s="1179"/>
      <c r="BF71" s="1179"/>
      <c r="BG71" s="1179"/>
      <c r="BH71" s="1179"/>
      <c r="BI71" s="1179"/>
      <c r="BJ71" s="1179"/>
      <c r="BK71" s="1179"/>
      <c r="BL71" s="1179"/>
      <c r="BM71" s="1179"/>
      <c r="BN71" s="1179"/>
      <c r="BO71" s="1179"/>
      <c r="BP71" s="1179"/>
      <c r="BQ71" s="1179"/>
      <c r="BR71" s="1179"/>
      <c r="BS71" s="1179"/>
      <c r="BT71" s="1179"/>
      <c r="BU71" s="1179"/>
      <c r="BV71" s="1179"/>
      <c r="BW71" s="1179"/>
      <c r="BX71" s="1179"/>
      <c r="BY71" s="1179"/>
      <c r="BZ71" s="1179"/>
      <c r="CA71" s="1179"/>
      <c r="CB71" s="1176"/>
      <c r="CC71" s="44"/>
      <c r="CD71" s="94"/>
      <c r="CE71" s="94"/>
      <c r="CF71" s="912"/>
      <c r="CG71" s="913"/>
      <c r="CH71" s="7"/>
      <c r="CI71" s="13"/>
      <c r="CJ71" s="645"/>
      <c r="CK71" s="645"/>
      <c r="CL71" s="645"/>
      <c r="CM71" s="13"/>
      <c r="CN71" s="8"/>
      <c r="CO71" s="13"/>
      <c r="CP71" s="13"/>
      <c r="CQ71" s="8"/>
      <c r="CR71" s="13"/>
      <c r="CS71" s="13"/>
      <c r="CT71" s="7"/>
      <c r="CU71" s="1020"/>
      <c r="CV71" s="1020"/>
      <c r="CW71" s="1019"/>
      <c r="CX71" s="1019"/>
      <c r="CY71" s="1019"/>
      <c r="CZ71" s="1017"/>
      <c r="DA71" s="1017"/>
      <c r="DB71" s="1017"/>
      <c r="DC71" s="1017"/>
      <c r="DD71" s="1017"/>
      <c r="DE71" s="1017"/>
      <c r="DF71" s="1017"/>
      <c r="DG71" s="1017"/>
      <c r="DH71" s="1017"/>
      <c r="DI71" s="1017"/>
      <c r="DJ71" s="1017"/>
      <c r="DK71" s="1017"/>
      <c r="DL71" s="1017"/>
      <c r="DM71" s="1017"/>
      <c r="DN71" s="1017"/>
      <c r="DO71" s="1017"/>
      <c r="DP71" s="1017"/>
    </row>
    <row r="72" spans="1:238" ht="14.25" customHeight="1" thickBot="1">
      <c r="A72" s="75"/>
      <c r="B72" s="1028"/>
      <c r="C72" s="1814"/>
      <c r="D72" s="902"/>
      <c r="E72" s="1812" t="s">
        <v>436</v>
      </c>
      <c r="F72" s="1812"/>
      <c r="G72" s="1812"/>
      <c r="H72" s="1812"/>
      <c r="I72" s="1812"/>
      <c r="J72" s="27"/>
      <c r="K72" s="1161">
        <f>SUM(L43,L46,L49,L52,L55,L58,L61,L64,L67)</f>
        <v>0</v>
      </c>
      <c r="L72" s="1117"/>
      <c r="M72" s="1579">
        <f>SUM(M43,M46,M49,M52,M55,M58,M61,M64,M67)</f>
        <v>0</v>
      </c>
      <c r="N72" s="1013"/>
      <c r="O72" s="1165" t="str">
        <f>(IF(Q34="YES",SUM(P43,P46,P49,P52,P55,P58,P61,P64,P67),""))</f>
        <v/>
      </c>
      <c r="P72" s="1117"/>
      <c r="Q72" s="1579" t="str">
        <f>IF($Q$34="YES",SUM(Q43,Q46,Q49,Q52,Q55,Q58,Q61,Q64,Q67),"")</f>
        <v/>
      </c>
      <c r="R72" s="1082"/>
      <c r="S72" s="1036"/>
      <c r="T72" s="1146"/>
      <c r="U72" s="1036"/>
      <c r="V72" s="1368"/>
      <c r="AE72" s="1372"/>
      <c r="AF72" s="1289"/>
      <c r="AG72" s="105"/>
      <c r="AH72" s="1142"/>
      <c r="AI72" s="1036"/>
      <c r="AJ72" s="1168"/>
      <c r="AK72" s="1716" t="s">
        <v>438</v>
      </c>
      <c r="AL72" s="1717"/>
      <c r="AM72" s="1125"/>
      <c r="AN72" s="1799" t="str">
        <f>IF($K$72&gt;0,$CA$72,"")</f>
        <v/>
      </c>
      <c r="AO72" s="1799"/>
      <c r="AP72" s="1156"/>
      <c r="AQ72" s="1799" t="str">
        <f>IF(AND($Q$34="Yes",$O$72&gt;0),$CA$73,"")</f>
        <v/>
      </c>
      <c r="AR72" s="1800"/>
      <c r="AS72" s="1167"/>
      <c r="AT72" s="75"/>
      <c r="AU72" s="1200" t="s">
        <v>442</v>
      </c>
      <c r="AV72" s="404">
        <v>1</v>
      </c>
      <c r="AW72" s="403"/>
      <c r="AX72" s="403" t="str">
        <f>IF(SUM(AX40,AX43,AX46,AX49,AX52,AX55,AX58,AX61,AX64,AX67)&gt;0,SUM(AX40,AX43,AX46,AX49,AX52,AX55,AX58,AX61,AX64,AX67),"")</f>
        <v/>
      </c>
      <c r="AY72" s="528"/>
      <c r="AZ72" s="529"/>
      <c r="BA72" s="404" t="str">
        <f>IF(SUM(BA40,BA43,BA46,BA49,BA52,BA55,BA58,BA61,BA64,BA67)&gt;0,SUM(BA40,BA43,BA46,BA49,BA52,BA55,BA58,BA61,BA64,BA67),"")</f>
        <v/>
      </c>
      <c r="BB72" s="925"/>
      <c r="BC72" s="405"/>
      <c r="BD72" s="403" t="str">
        <f>IF(SUM(BD40,BD43,BD46,BD49,BD52,BD55,BD58,BD61,BD64,BD67)&gt;0,SUM(BD40,BD43,BD46,BD49,BD52,BD55,BD58,BD61,BD64,BD67),"")</f>
        <v/>
      </c>
      <c r="BE72" s="529"/>
      <c r="BF72" s="403" t="str">
        <f>IF(SUM(BF40,BF43,BF46,BF49,BF52,BF55,BF58,BF61,BF64,BF67)&gt;0,SUM(BF40,BF43,BF46,BF49,BF52,BF55,BF58,BF61,BF64,BF67),"")</f>
        <v/>
      </c>
      <c r="BG72" s="406"/>
      <c r="BH72" s="403" t="str">
        <f>IF(SUM(BH40,BH43,BH46,BH49,BH52,BH55,BH58,BH61,BH64,BH67)&gt;0,SUM(BH40,BH43,BH46,BH49,BH52,BH55,BH58,BH61,BH64,BH67),"")</f>
        <v/>
      </c>
      <c r="BI72" s="529"/>
      <c r="BJ72" s="403" t="str">
        <f>IF(SUM(BJ40,BJ43,BJ46,BJ49,BJ52,BJ55,BJ58,BJ61,BJ64,BJ67)&gt;0,SUM(BJ40,BJ43,BJ46,BJ49,BJ52,BJ55,BJ58,BJ61,BJ64,BJ67),"")</f>
        <v/>
      </c>
      <c r="BK72" s="529"/>
      <c r="BL72" s="652" t="str">
        <f>IF(SUM(BL40,BL43,BL46,BL49,BL52,BL55,BL58,BL61,BL64,BL67)&gt;0,SUM(BL40,BL43,BL46,BL49,BL52,BL55,BL58,BL61,BL64,BL67),"")</f>
        <v/>
      </c>
      <c r="BM72" s="1179"/>
      <c r="BN72" s="850" t="str">
        <f t="shared" ref="BN72:BS72" si="0">IF((SUM(BN40,BN43,BN46,BN49,BN52,BN55,BN58,BN61,BN64,BN67))&gt;0,SUM(($AX$40/$AX$72*BN40)+($AX$43/$AX$72*BN43)+($AX$46/$AX$72*BN46)+($AX$49/$AX$72*BN49)+($AX$52/$AX$72*BN52)+($AX$55/$AX$72*BN55)+($AX$58/$AX$72*BN58)+($AX$61/$AX$72*BN61)+($AX$64/$AX$72*BN64)+($AX$67/$AX$72*BN67)),"")</f>
        <v/>
      </c>
      <c r="BO72" s="850" t="str">
        <f t="shared" si="0"/>
        <v/>
      </c>
      <c r="BP72" s="850" t="str">
        <f t="shared" si="0"/>
        <v/>
      </c>
      <c r="BQ72" s="850" t="str">
        <f>IF((SUM(BQ40,BQ43,BQ46,BQ49,BQ52,BQ55,BQ58,BQ61,BQ64,BQ67))&gt;0,SUM(($AX$40/$AX$72*BQ40)+($AX$43/$AX$72*BQ43)+($AX$46/$AX$72*BQ46)+($AX$49/$AX$72*BQ49)+($AX$52/$AX$72*BQ52)+($AX$55/$AX$72*BQ55)+($AX$58/$AX$72*BQ58)+($AX$61/$AX$72*BQ61)+($AX$64/$AX$72*BQ64)+($AX$67/$AX$72*BQ67)),"")</f>
        <v/>
      </c>
      <c r="BR72" s="850" t="str">
        <f t="shared" si="0"/>
        <v/>
      </c>
      <c r="BS72" s="850" t="str">
        <f t="shared" si="0"/>
        <v/>
      </c>
      <c r="BT72" s="850" t="str">
        <f>IF((SUM(BT40,BT43,BT46,BT49,BT52,BT55,BT58,BT61,BT64,BT67))&gt;0,SUM(($AX$40/$AX$72*BT40)+($AX$43/$AX$72*BT43)+($AX$46/$AX$72*BT46)+($AX$49/$AX$72*BT49)+($AX$52/$AX$72*BT52)+($AX$55/$AX$72*BT55)+($AX$58/$AX$72*BT58)+($AX$61/$AX$72*BT61)+($AX$64/$AX$72*BT64)+($AX$67/$AX$72*BT67)),"")</f>
        <v/>
      </c>
      <c r="BU72" s="44"/>
      <c r="BV72" s="1226">
        <f>(BV40+BV43+BV46+BV49+BV52+BV55+BV58+BV61+BV64+BV67)</f>
        <v>0</v>
      </c>
      <c r="BW72" s="910"/>
      <c r="BX72" s="652" t="s">
        <v>271</v>
      </c>
      <c r="BY72" s="707">
        <f>CA72*$O$6</f>
        <v>0</v>
      </c>
      <c r="BZ72" s="652" t="s">
        <v>270</v>
      </c>
      <c r="CA72" s="999">
        <f>SUM(CA43,CA46,CA49,CA52,CA55,CA58,CA61,CA64,CA67)</f>
        <v>0</v>
      </c>
      <c r="CB72" s="1176"/>
      <c r="CC72" s="44"/>
      <c r="CD72" s="130"/>
      <c r="CE72" s="130"/>
      <c r="CF72" s="912"/>
      <c r="CG72" s="913"/>
      <c r="CH72" s="18"/>
      <c r="CI72" s="13"/>
      <c r="CJ72" s="13"/>
      <c r="CK72" s="7"/>
      <c r="CL72" s="13"/>
      <c r="CM72" s="13"/>
      <c r="CN72" s="13"/>
      <c r="CO72" s="13"/>
      <c r="CP72" s="13"/>
      <c r="CQ72" s="13"/>
      <c r="CR72" s="13"/>
      <c r="CS72" s="13"/>
      <c r="CT72" s="13"/>
      <c r="CU72" s="1020"/>
      <c r="CV72" s="1020"/>
      <c r="CW72" s="1019"/>
      <c r="CX72" s="1019"/>
      <c r="CY72" s="1019"/>
      <c r="CZ72" s="1017"/>
      <c r="DA72" s="1017"/>
      <c r="DB72" s="1017"/>
      <c r="DC72" s="1017"/>
      <c r="DD72" s="1017"/>
      <c r="DE72" s="1017"/>
      <c r="DF72" s="1017"/>
      <c r="DG72" s="1017"/>
      <c r="DH72" s="1017"/>
      <c r="DI72" s="1017"/>
      <c r="DJ72" s="1017"/>
      <c r="DK72" s="1017"/>
      <c r="DL72" s="1017"/>
      <c r="DM72" s="1017"/>
      <c r="DN72" s="1017"/>
      <c r="DO72" s="1017"/>
      <c r="DP72" s="1017"/>
    </row>
    <row r="73" spans="1:238" ht="15" customHeight="1" thickBot="1">
      <c r="A73" s="75"/>
      <c r="B73" s="1083"/>
      <c r="C73" s="1313" t="str">
        <f>IF(C55="Hay_Silage","i","")</f>
        <v/>
      </c>
      <c r="D73" s="904"/>
      <c r="J73" s="1014"/>
      <c r="M73" s="1493"/>
      <c r="N73" s="1013"/>
      <c r="Q73" s="1493"/>
      <c r="R73" s="1082"/>
      <c r="S73" s="1036"/>
      <c r="T73" s="1146"/>
      <c r="U73" s="1036"/>
      <c r="V73" s="1368"/>
      <c r="W73" s="1725" t="s">
        <v>260</v>
      </c>
      <c r="X73" s="1727" t="str">
        <f>IF($Y$12="No","",IF($H$7="early",0.25,IF($H$7="mid",0.25,IF($H$7="late",0.25,IF($H$7="dry",IF(AF16="YES",0.25,0.25))))))</f>
        <v/>
      </c>
      <c r="Y73" s="1729" t="s">
        <v>410</v>
      </c>
      <c r="Z73" s="1749"/>
      <c r="AA73" s="1723" t="str">
        <f>IF($K$71&gt;0,BQ72,"")</f>
        <v/>
      </c>
      <c r="AB73" s="1860"/>
      <c r="AC73" s="1723" t="str">
        <f>IF(AND($Q$34="YES",$O$71&gt;0),BQ73,"")</f>
        <v/>
      </c>
      <c r="AD73" s="1861"/>
      <c r="AE73" s="1372"/>
      <c r="AF73" s="1289"/>
      <c r="AG73" s="105"/>
      <c r="AH73" s="1142"/>
      <c r="AI73" s="1036"/>
      <c r="AJ73" s="1168"/>
      <c r="AK73" s="1810" t="s">
        <v>439</v>
      </c>
      <c r="AL73" s="1811"/>
      <c r="AM73" s="1129"/>
      <c r="AN73" s="1803" t="str">
        <f>IF(AND($K$72&gt;0,$O$6&gt;0),$BY$72,"")</f>
        <v/>
      </c>
      <c r="AO73" s="1803"/>
      <c r="AP73" s="1117"/>
      <c r="AQ73" s="1803" t="str">
        <f>IF(AND($Q$34="Yes",$O$72&gt;0,$O$6&gt;0),$BY$73,"")</f>
        <v/>
      </c>
      <c r="AR73" s="1805"/>
      <c r="AS73" s="1167"/>
      <c r="AT73" s="75"/>
      <c r="AU73" s="1200" t="s">
        <v>442</v>
      </c>
      <c r="AV73" s="530">
        <v>2</v>
      </c>
      <c r="AW73" s="402"/>
      <c r="AX73" s="403" t="str">
        <f>IF(SUM(AX41,AX44,AX47,AX50,AX53,AX56,AX59,AX62,AX65,AX68)&gt;0,SUM(AX41,AX44,AX47,AX50,AX53,AX56,AX59,AX62,AX65,AX68),"")</f>
        <v/>
      </c>
      <c r="AY73" s="402"/>
      <c r="AZ73" s="402"/>
      <c r="BA73" s="530">
        <f>IF($O$71&gt;0,SUM(BA41,BA44,BA47,BA50,BA53,BA56,BA59,BA62,BA65,BA68),"")</f>
        <v>0</v>
      </c>
      <c r="BB73" s="925"/>
      <c r="BC73" s="402"/>
      <c r="BD73" s="652">
        <f>IF($O$71&gt;0,SUM(BD41,BD44,BD47,BD50,BD53,BD56,BD59,BD62,BD65,BD68),"")</f>
        <v>0</v>
      </c>
      <c r="BE73" s="402"/>
      <c r="BF73" s="652">
        <f>IF($O$71&gt;0,SUM(BF41,BF44,BF47,BF50,BF53,BF56,BF59,BF62,BF65,BF68),"")</f>
        <v>0</v>
      </c>
      <c r="BG73" s="402"/>
      <c r="BH73" s="652">
        <f>IF($O$71&gt;0,SUM(BH41,BH44,BH47,BH50,BH53,BH56,BH59,BH62,BH65,BH68),"")</f>
        <v>0</v>
      </c>
      <c r="BI73" s="402"/>
      <c r="BJ73" s="652">
        <f>IF($O$71&gt;0,SUM(BJ41,BJ44,BJ47,BJ50,BJ53,BJ56,BJ59,BJ62,BJ65,BJ68),"")</f>
        <v>0</v>
      </c>
      <c r="BK73" s="402"/>
      <c r="BL73" s="652">
        <f>IF($O$71&gt;0,SUM(BL41,BL44,BL47,BL50,BL53,BL56,BL59,BL62,BL65,BL68),"")</f>
        <v>0</v>
      </c>
      <c r="BM73" s="105"/>
      <c r="BN73" s="850" t="str">
        <f t="shared" ref="BN73:BS73" si="1">IF((SUM(BN41,BN44,BN47,BN50,BN53,BN56,BN59,BN62,BN65,BN68))&gt;0,SUM(($AX$41/$AX$73*BN41)+($AX$44/$AX$73*BN44)+($AX$47/$AX$73*BN47)+($AX$50/$AX$73*BN50)+($AX$53/$AX$73*BN53)+($AX$56/$AX$73*BN56)+($AX$59/$AX$73*BN59)+($AX$62/$AX$73*BN62)+($AX$65/$AX$73*BN65)+($AX$68/$AX$73*BN68)),"")</f>
        <v/>
      </c>
      <c r="BO73" s="850" t="str">
        <f t="shared" si="1"/>
        <v/>
      </c>
      <c r="BP73" s="850" t="str">
        <f t="shared" si="1"/>
        <v/>
      </c>
      <c r="BQ73" s="850" t="str">
        <f>IF((SUM(BQ41,BQ44,BQ47,BQ50,BQ53,BQ56,BQ59,BQ62,BQ65,BQ68))&gt;0,SUM(($AX$41/$AX$73*BQ41)+($AX$44/$AX$73*BQ44)+($AX$47/$AX$73*BQ47)+($AX$50/$AX$73*BQ50)+($AX$53/$AX$73*BQ53)+($AX$56/$AX$73*BQ56)+($AX$59/$AX$73*BQ59)+($AX$62/$AX$73*BQ62)+($AX$65/$AX$73*BQ65)+($AX$68/$AX$73*BQ68)),"")</f>
        <v/>
      </c>
      <c r="BR73" s="850" t="str">
        <f t="shared" si="1"/>
        <v/>
      </c>
      <c r="BS73" s="850" t="str">
        <f t="shared" si="1"/>
        <v/>
      </c>
      <c r="BT73" s="850" t="str">
        <f>IF((SUM(BT41,BT44,BT47,BT50,BT53,BT56,BT59,BT62,BT65,BT68))&gt;0,SUM(($AX$41/$AX$73*BT41)+($AX$44/$AX$73*BT44)+($AX$47/$AX$73*BT47)+($AX$50/$AX$73*BT50)+($AX$53/$AX$73*BT53)+($AX$56/$AX$73*BT56)+($AX$59/$AX$73*BT59)+($AX$62/$AX$73*BT62)+($AX$65/$AX$73*BT65)+($AX$68/$AX$73*BT68)),"")</f>
        <v/>
      </c>
      <c r="BU73" s="44"/>
      <c r="BV73" s="1226">
        <f>SUM(BV41,BV44,BV47,BV50,BV53,BV56,BV59,BV62,BV65,BV68)</f>
        <v>0</v>
      </c>
      <c r="BW73" s="910"/>
      <c r="BX73" s="652"/>
      <c r="BY73" s="707">
        <f>CA73*O6</f>
        <v>0</v>
      </c>
      <c r="BZ73" s="652"/>
      <c r="CA73" s="999">
        <f>SUM(CA44,CA47,CA50,CA53,CA56,CA59,CA62,CA65,CA68)</f>
        <v>0</v>
      </c>
      <c r="CB73" s="1176"/>
      <c r="CC73" s="44"/>
      <c r="CD73" s="910"/>
      <c r="CE73" s="910"/>
      <c r="CF73" s="912"/>
      <c r="CG73" s="913"/>
      <c r="CH73" s="18"/>
      <c r="CI73" s="13"/>
      <c r="CJ73" s="13"/>
      <c r="CK73" s="7"/>
      <c r="CL73" s="13"/>
      <c r="CM73" s="13"/>
      <c r="CN73" s="13"/>
      <c r="CO73" s="13"/>
      <c r="CP73" s="13"/>
      <c r="CQ73" s="13"/>
      <c r="CR73" s="13"/>
      <c r="CS73" s="13"/>
      <c r="CT73" s="13"/>
      <c r="CU73" s="1020"/>
      <c r="CV73" s="1020"/>
      <c r="CW73" s="1019"/>
      <c r="CX73" s="1019"/>
      <c r="CY73" s="1019"/>
      <c r="CZ73" s="1017"/>
      <c r="DA73" s="1017"/>
      <c r="DB73" s="1017"/>
      <c r="DC73" s="1017"/>
      <c r="DD73" s="1017"/>
      <c r="DE73" s="1017"/>
      <c r="DF73" s="1017"/>
      <c r="DG73" s="1017"/>
      <c r="DH73" s="1017"/>
      <c r="DI73" s="1017"/>
      <c r="DJ73" s="1017"/>
      <c r="DK73" s="1017"/>
      <c r="DL73" s="1017"/>
      <c r="DM73" s="1017"/>
      <c r="DN73" s="1017"/>
      <c r="DO73" s="1017"/>
      <c r="DP73" s="1017"/>
    </row>
    <row r="74" spans="1:238" ht="8.25" customHeight="1">
      <c r="A74" s="75"/>
      <c r="B74" s="1083"/>
      <c r="M74" s="1493"/>
      <c r="Q74" s="1493"/>
      <c r="R74" s="1082"/>
      <c r="S74" s="1036"/>
      <c r="T74" s="1146"/>
      <c r="U74" s="1036"/>
      <c r="V74" s="1366"/>
      <c r="W74" s="1726"/>
      <c r="X74" s="1728"/>
      <c r="Y74" s="1729"/>
      <c r="Z74" s="1749"/>
      <c r="AA74" s="1724"/>
      <c r="AB74" s="1860"/>
      <c r="AC74" s="1724"/>
      <c r="AD74" s="1861"/>
      <c r="AE74" s="1372"/>
      <c r="AF74" s="1289"/>
      <c r="AG74" s="105"/>
      <c r="AH74" s="1142"/>
      <c r="AI74" s="1036"/>
      <c r="AJ74" s="1168"/>
      <c r="AK74" s="75"/>
      <c r="AL74" s="75"/>
      <c r="AM74" s="75"/>
      <c r="AN74" s="75"/>
      <c r="AO74" s="75"/>
      <c r="AQ74" s="44"/>
      <c r="AR74" s="75"/>
      <c r="AS74" s="1167"/>
      <c r="AT74" s="75"/>
      <c r="AU74" s="1138"/>
      <c r="AV74" s="75"/>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75"/>
      <c r="BY74" s="75"/>
      <c r="BZ74" s="75"/>
      <c r="CA74" s="44"/>
      <c r="CB74" s="1176"/>
      <c r="CC74" s="44"/>
      <c r="CD74" s="910"/>
      <c r="CE74" s="910"/>
      <c r="CF74" s="912"/>
      <c r="CG74" s="913"/>
      <c r="CH74" s="18"/>
      <c r="CI74" s="13"/>
      <c r="CJ74" s="13"/>
      <c r="CK74" s="7"/>
      <c r="CL74" s="13"/>
      <c r="CM74" s="13"/>
      <c r="CN74" s="13"/>
      <c r="CO74" s="13"/>
      <c r="CP74" s="13"/>
      <c r="CQ74" s="13"/>
      <c r="CR74" s="13"/>
      <c r="CS74" s="13"/>
      <c r="CT74" s="13"/>
      <c r="CU74" s="1020"/>
      <c r="CV74" s="1020"/>
      <c r="CW74" s="1019"/>
      <c r="CX74" s="1019"/>
      <c r="CY74" s="1019"/>
      <c r="CZ74" s="1017"/>
      <c r="DA74" s="1017"/>
      <c r="DB74" s="1017"/>
      <c r="DC74" s="1017"/>
      <c r="DD74" s="1017"/>
      <c r="DE74" s="1017"/>
      <c r="DF74" s="1017"/>
      <c r="DG74" s="1017"/>
      <c r="DH74" s="1017"/>
      <c r="DI74" s="1017"/>
      <c r="DJ74" s="1017"/>
      <c r="DK74" s="1017"/>
      <c r="DL74" s="1017"/>
      <c r="DM74" s="1017"/>
      <c r="DN74" s="1017"/>
      <c r="DO74" s="1017"/>
      <c r="DP74" s="1017"/>
    </row>
    <row r="75" spans="1:238" ht="15" customHeight="1" thickBot="1">
      <c r="A75" s="75"/>
      <c r="B75" s="1084"/>
      <c r="C75" s="1047"/>
      <c r="D75" s="1085"/>
      <c r="E75" s="1047"/>
      <c r="F75" s="1047"/>
      <c r="G75" s="1047"/>
      <c r="H75" s="1047"/>
      <c r="I75" s="1047"/>
      <c r="J75" s="1047"/>
      <c r="K75" s="1047"/>
      <c r="L75" s="1047"/>
      <c r="M75" s="1580"/>
      <c r="N75" s="1047"/>
      <c r="O75" s="1086"/>
      <c r="P75" s="1086"/>
      <c r="Q75" s="1582"/>
      <c r="R75" s="1087"/>
      <c r="S75" s="1036"/>
      <c r="T75" s="1146"/>
      <c r="U75" s="1036"/>
      <c r="V75" s="1366"/>
      <c r="AE75" s="1372"/>
      <c r="AF75" s="1289"/>
      <c r="AG75" s="105"/>
      <c r="AH75" s="1142"/>
      <c r="AI75" s="1036"/>
      <c r="AJ75" s="1169"/>
      <c r="AK75" s="1170"/>
      <c r="AL75" s="1170"/>
      <c r="AM75" s="1170"/>
      <c r="AN75" s="1804"/>
      <c r="AO75" s="1804"/>
      <c r="AP75" s="1804"/>
      <c r="AQ75" s="1804"/>
      <c r="AR75" s="1804"/>
      <c r="AS75" s="1171"/>
      <c r="AT75" s="75"/>
      <c r="AU75" s="1180"/>
      <c r="AV75" s="1170"/>
      <c r="AW75" s="1170"/>
      <c r="AX75" s="1170"/>
      <c r="AY75" s="1170"/>
      <c r="AZ75" s="1170"/>
      <c r="BA75" s="1170"/>
      <c r="BB75" s="1170"/>
      <c r="BC75" s="1170"/>
      <c r="BD75" s="1170"/>
      <c r="BE75" s="1170"/>
      <c r="BF75" s="1170"/>
      <c r="BG75" s="1170"/>
      <c r="BH75" s="1170"/>
      <c r="BI75" s="1170"/>
      <c r="BJ75" s="1170"/>
      <c r="BK75" s="1170"/>
      <c r="BL75" s="1170"/>
      <c r="BM75" s="1170"/>
      <c r="BN75" s="1170"/>
      <c r="BO75" s="1170"/>
      <c r="BP75" s="1170"/>
      <c r="BQ75" s="1170"/>
      <c r="BR75" s="1170"/>
      <c r="BS75" s="1170"/>
      <c r="BT75" s="1170"/>
      <c r="BU75" s="1170"/>
      <c r="BV75" s="1170"/>
      <c r="BW75" s="1170"/>
      <c r="BX75" s="1170"/>
      <c r="BY75" s="1170"/>
      <c r="BZ75" s="1170"/>
      <c r="CA75" s="1170"/>
      <c r="CB75" s="1181"/>
      <c r="CC75" s="44"/>
      <c r="CD75" s="75"/>
      <c r="CE75" s="75"/>
      <c r="CF75" s="75"/>
      <c r="CG75" s="75"/>
      <c r="CK75" s="5"/>
      <c r="CL75" s="6"/>
      <c r="CM75" s="5"/>
      <c r="CN75" s="5"/>
      <c r="CO75" s="5"/>
      <c r="CP75" s="5"/>
      <c r="CQ75" s="6"/>
      <c r="CR75" s="6"/>
      <c r="CS75" s="5"/>
      <c r="CT75" s="5"/>
      <c r="CU75" s="1017"/>
      <c r="CV75" s="1017"/>
      <c r="CW75" s="1017"/>
      <c r="CX75" s="1017"/>
      <c r="CY75" s="1017"/>
      <c r="CZ75" s="1017"/>
      <c r="DA75" s="1017"/>
      <c r="DB75" s="1017"/>
      <c r="DC75" s="1017"/>
      <c r="DD75" s="1026"/>
      <c r="DE75" s="1017"/>
      <c r="DF75" s="1017"/>
      <c r="DG75" s="1017"/>
      <c r="DH75" s="1017"/>
      <c r="DI75" s="1017"/>
      <c r="DJ75" s="1017"/>
      <c r="DK75" s="1017"/>
      <c r="DL75" s="1017"/>
      <c r="DM75" s="1017"/>
      <c r="DN75" s="1017"/>
      <c r="DO75" s="1017"/>
      <c r="DP75" s="1017"/>
    </row>
    <row r="76" spans="1:238">
      <c r="A76" s="44"/>
      <c r="B76" s="75"/>
      <c r="C76" s="75"/>
      <c r="D76" s="898"/>
      <c r="E76" s="75"/>
      <c r="F76" s="75"/>
      <c r="G76" s="75"/>
      <c r="H76" s="75"/>
      <c r="I76" s="75"/>
      <c r="J76" s="75"/>
      <c r="K76" s="75"/>
      <c r="L76" s="75"/>
      <c r="M76" s="75"/>
      <c r="N76" s="75"/>
      <c r="O76" s="75"/>
      <c r="P76" s="75"/>
      <c r="Q76" s="75"/>
      <c r="R76" s="75"/>
      <c r="S76" s="1036"/>
      <c r="T76" s="1146"/>
      <c r="U76" s="1036"/>
      <c r="V76" s="1366"/>
      <c r="W76" s="1725" t="s">
        <v>261</v>
      </c>
      <c r="X76" s="1727" t="str">
        <f>IF($Y$12="No","",IF($H$7="early",0.4,IF($H$7="mid",0.25,IF($H$7="late",0.25,IF($H$7="dry",IF(AF16="YES",0.4,0.3))))))</f>
        <v/>
      </c>
      <c r="Y76" s="1729" t="s">
        <v>410</v>
      </c>
      <c r="Z76" s="1749"/>
      <c r="AA76" s="1723" t="str">
        <f>IF($K$71&gt;0,BR72,"")</f>
        <v/>
      </c>
      <c r="AB76" s="1860"/>
      <c r="AC76" s="1723" t="str">
        <f>IF(AND($Q$34="YES",$O$71&gt;0),BR73,"")</f>
        <v/>
      </c>
      <c r="AE76" s="1372"/>
      <c r="AF76" s="1289"/>
      <c r="AG76" s="105"/>
      <c r="AH76" s="1142"/>
      <c r="AI76" s="1036"/>
      <c r="AJ76" s="1003"/>
      <c r="AK76" s="1002"/>
      <c r="AL76" s="1002"/>
      <c r="AM76" s="1002"/>
      <c r="AN76" s="1096"/>
      <c r="AO76" s="1096"/>
      <c r="AP76" s="1796"/>
      <c r="AQ76" s="1796"/>
      <c r="AR76" s="1796"/>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44"/>
      <c r="CC76" s="44"/>
      <c r="CD76" s="75"/>
      <c r="CE76" s="75"/>
      <c r="CF76" s="75"/>
      <c r="CG76" s="75"/>
      <c r="CU76" s="1017"/>
      <c r="CV76" s="1017"/>
      <c r="CW76" s="1017"/>
      <c r="CX76" s="1017"/>
      <c r="CY76" s="1017"/>
      <c r="CZ76" s="1017"/>
      <c r="DA76" s="1017"/>
      <c r="DB76" s="1017"/>
      <c r="DC76" s="1017"/>
      <c r="DD76" s="1017"/>
      <c r="DE76" s="1017"/>
      <c r="DF76" s="1017"/>
      <c r="DG76" s="1017"/>
      <c r="DH76" s="1017"/>
      <c r="DI76" s="1017"/>
      <c r="DJ76" s="1017"/>
      <c r="DK76" s="1017"/>
      <c r="DL76" s="1017"/>
      <c r="DM76" s="1017"/>
      <c r="DN76" s="1017"/>
      <c r="DO76" s="1017"/>
      <c r="DP76" s="1017"/>
    </row>
    <row r="77" spans="1:238" ht="8.25" customHeight="1">
      <c r="A77" s="44"/>
      <c r="B77" s="992"/>
      <c r="C77" s="992"/>
      <c r="D77" s="1001"/>
      <c r="E77" s="992"/>
      <c r="F77" s="992"/>
      <c r="G77" s="992"/>
      <c r="H77" s="1002"/>
      <c r="I77" s="1002"/>
      <c r="J77" s="1002"/>
      <c r="K77" s="1002"/>
      <c r="L77" s="1002"/>
      <c r="M77" s="75"/>
      <c r="N77" s="75"/>
      <c r="O77" s="75"/>
      <c r="P77" s="75"/>
      <c r="Q77" s="75"/>
      <c r="R77" s="75"/>
      <c r="S77" s="1036"/>
      <c r="T77" s="1146"/>
      <c r="U77" s="1036"/>
      <c r="V77" s="1366"/>
      <c r="W77" s="1726"/>
      <c r="X77" s="1728"/>
      <c r="Y77" s="1729"/>
      <c r="Z77" s="1749"/>
      <c r="AA77" s="1724"/>
      <c r="AB77" s="1860"/>
      <c r="AC77" s="1724"/>
      <c r="AE77" s="1372"/>
      <c r="AF77" s="1289"/>
      <c r="AG77" s="105"/>
      <c r="AH77" s="1142"/>
      <c r="AI77" s="1036"/>
      <c r="AJ77" s="1003"/>
      <c r="AK77" s="1002"/>
      <c r="AL77" s="1002"/>
      <c r="AM77" s="1002"/>
      <c r="AN77" s="1097"/>
      <c r="AO77" s="1097"/>
      <c r="AP77" s="1796"/>
      <c r="AQ77" s="1796"/>
      <c r="AR77" s="1796"/>
      <c r="AS77" s="75"/>
      <c r="AT77" s="75"/>
      <c r="AU77" s="75"/>
      <c r="AV77" s="75"/>
      <c r="AW77" s="992"/>
      <c r="AX77" s="992"/>
      <c r="AY77" s="992"/>
      <c r="AZ77" s="992"/>
      <c r="BA77" s="992"/>
      <c r="BB77" s="992"/>
      <c r="BC77" s="992"/>
      <c r="BD77" s="992"/>
      <c r="BE77" s="992"/>
      <c r="BF77" s="992"/>
      <c r="BG77" s="992"/>
      <c r="BH77" s="992"/>
      <c r="BI77" s="992"/>
      <c r="BJ77" s="992"/>
      <c r="BK77" s="992"/>
      <c r="BL77" s="992"/>
      <c r="BM77" s="992"/>
      <c r="BN77" s="44"/>
      <c r="BO77" s="44"/>
      <c r="BP77" s="44"/>
      <c r="BQ77" s="44"/>
      <c r="BR77" s="44"/>
      <c r="BS77" s="44"/>
      <c r="BT77" s="44"/>
      <c r="BU77" s="44"/>
      <c r="BV77" s="44"/>
      <c r="BW77" s="44"/>
      <c r="BX77" s="1002"/>
      <c r="BY77" s="1002"/>
      <c r="BZ77" s="1002"/>
      <c r="CA77" s="44"/>
      <c r="CB77" s="44"/>
      <c r="CC77" s="44"/>
      <c r="CD77" s="44"/>
      <c r="CE77" s="44"/>
      <c r="CF77" s="44"/>
      <c r="CG77" s="44"/>
      <c r="CH77" s="44"/>
      <c r="CI77" s="44"/>
      <c r="CJ77" s="44"/>
      <c r="CK77" s="44"/>
      <c r="CL77" s="44"/>
      <c r="CM77" s="44"/>
      <c r="CN77" s="44"/>
      <c r="CO77" s="44"/>
      <c r="CP77" s="44"/>
      <c r="CQ77" s="75"/>
      <c r="CR77" s="75"/>
      <c r="CS77" s="44"/>
      <c r="CT77" s="44"/>
      <c r="CU77" s="1027"/>
      <c r="CV77" s="1027"/>
      <c r="CW77" s="1027"/>
      <c r="CX77" s="1027"/>
      <c r="CY77" s="1027"/>
      <c r="CZ77" s="1027"/>
      <c r="DA77" s="1027"/>
      <c r="DB77" s="1027"/>
      <c r="DC77" s="1027"/>
      <c r="DD77" s="1027"/>
      <c r="DE77" s="1027"/>
      <c r="DF77" s="1027"/>
      <c r="DG77" s="1027"/>
      <c r="DH77" s="1027"/>
      <c r="DI77" s="1027"/>
      <c r="DJ77" s="1027"/>
      <c r="DK77" s="1027"/>
      <c r="DL77" s="1027"/>
      <c r="DM77" s="1027"/>
      <c r="DN77" s="1027"/>
      <c r="DO77" s="1027"/>
      <c r="DP77" s="1027"/>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row>
    <row r="78" spans="1:238">
      <c r="A78" s="44"/>
      <c r="B78" s="992"/>
      <c r="C78" s="992"/>
      <c r="D78" s="1001"/>
      <c r="E78" s="992"/>
      <c r="F78" s="992"/>
      <c r="G78" s="992"/>
      <c r="H78" s="1002"/>
      <c r="I78" s="1002"/>
      <c r="J78" s="1002"/>
      <c r="K78" s="1002"/>
      <c r="L78" s="1002"/>
      <c r="M78" s="1002"/>
      <c r="N78" s="1002"/>
      <c r="O78" s="1002"/>
      <c r="P78" s="1002"/>
      <c r="Q78" s="1002"/>
      <c r="R78" s="1002"/>
      <c r="S78" s="1036"/>
      <c r="T78" s="1146"/>
      <c r="U78" s="1036"/>
      <c r="V78" s="1366"/>
      <c r="AE78" s="1372"/>
      <c r="AF78" s="1289"/>
      <c r="AG78" s="105"/>
      <c r="AH78" s="1142"/>
      <c r="AI78" s="1036"/>
      <c r="AJ78" s="1003"/>
      <c r="AK78" s="1002"/>
      <c r="AL78" s="1002"/>
      <c r="AM78" s="1002"/>
      <c r="AN78" s="75"/>
      <c r="AO78" s="119"/>
      <c r="AP78" s="1112"/>
      <c r="AQ78" s="44"/>
      <c r="AR78" s="75"/>
      <c r="AS78" s="75"/>
      <c r="AT78" s="75"/>
      <c r="AU78" s="75"/>
      <c r="AV78" s="1004"/>
      <c r="AW78" s="1002"/>
      <c r="AX78" s="992"/>
      <c r="AY78" s="992"/>
      <c r="AZ78" s="992"/>
      <c r="BA78" s="992"/>
      <c r="BB78" s="992"/>
      <c r="BC78" s="992"/>
      <c r="BD78" s="992"/>
      <c r="BE78" s="992"/>
      <c r="BF78" s="992"/>
      <c r="BG78" s="992"/>
      <c r="BH78" s="992"/>
      <c r="BI78" s="992"/>
      <c r="BJ78" s="992"/>
      <c r="BK78" s="992"/>
      <c r="BL78" s="992"/>
      <c r="BM78" s="992"/>
      <c r="BN78" s="1277"/>
      <c r="BO78" s="44"/>
      <c r="BP78" s="44"/>
      <c r="BQ78" s="44"/>
      <c r="BR78" s="44"/>
      <c r="BS78" s="44"/>
      <c r="BT78" s="44"/>
      <c r="BU78" s="44"/>
      <c r="BV78" s="44"/>
      <c r="BW78" s="44"/>
      <c r="BX78" s="1002"/>
      <c r="BY78" s="1002"/>
      <c r="BZ78" s="1002"/>
      <c r="CA78" s="44"/>
      <c r="CB78" s="44"/>
      <c r="CC78" s="44"/>
      <c r="CD78" s="44"/>
      <c r="CE78" s="44"/>
      <c r="CF78" s="44"/>
      <c r="CG78" s="44"/>
      <c r="CH78" s="44"/>
      <c r="CI78" s="44"/>
      <c r="CJ78" s="44"/>
      <c r="CK78" s="44"/>
      <c r="CL78" s="44"/>
      <c r="CM78" s="44"/>
      <c r="CN78" s="44"/>
      <c r="CO78" s="44"/>
      <c r="CP78" s="44"/>
      <c r="CQ78" s="75"/>
      <c r="CR78" s="75"/>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row>
    <row r="79" spans="1:238">
      <c r="A79" s="44"/>
      <c r="B79" s="1005"/>
      <c r="C79" s="1005"/>
      <c r="D79" s="1006"/>
      <c r="E79" s="1005"/>
      <c r="F79" s="1005"/>
      <c r="G79" s="1005"/>
      <c r="H79" s="1007"/>
      <c r="I79" s="1007"/>
      <c r="J79" s="1007"/>
      <c r="K79" s="1007"/>
      <c r="L79" s="1007"/>
      <c r="M79" s="1007"/>
      <c r="N79" s="1007"/>
      <c r="O79" s="1007"/>
      <c r="P79" s="1007"/>
      <c r="Q79" s="1007"/>
      <c r="R79" s="1007"/>
      <c r="S79" s="1007"/>
      <c r="T79" s="1147"/>
      <c r="U79" s="1007"/>
      <c r="V79" s="1366"/>
      <c r="W79" s="1725" t="s">
        <v>262</v>
      </c>
      <c r="X79" s="1727" t="str">
        <f>IF($Y$12="NO","",IF($H$7="early","1.1",IF($H$7="mid","0.8",IF($H$7="late","0.6",IF($H$7="dry",IF($AF$15="YES",0.5,"0.50"))))))</f>
        <v/>
      </c>
      <c r="Y79" s="1729" t="s">
        <v>410</v>
      </c>
      <c r="Z79" s="1747" t="str">
        <f>IF(AF15="YES","i","")</f>
        <v/>
      </c>
      <c r="AA79" s="1723" t="str">
        <f>IF($K$71&gt;0,BS72,"")</f>
        <v/>
      </c>
      <c r="AB79" s="1747" t="str">
        <f>IF(H7="DRY","","i")</f>
        <v>i</v>
      </c>
      <c r="AC79" s="1723" t="str">
        <f>IF(AND($Q$34="YES",$O$71&gt;0),BS73,"")</f>
        <v/>
      </c>
      <c r="AD79" s="1747" t="str">
        <f>IF(H7="DRY","","i")</f>
        <v>i</v>
      </c>
      <c r="AE79" s="1372"/>
      <c r="AF79" s="1289"/>
      <c r="AG79" s="105"/>
      <c r="AH79" s="1142"/>
      <c r="AI79" s="1036"/>
      <c r="AJ79" s="1003"/>
      <c r="AK79" s="1002"/>
      <c r="AL79" s="1002"/>
      <c r="AM79" s="1002"/>
      <c r="AN79" s="75"/>
      <c r="AO79" s="911"/>
      <c r="AP79" s="1112"/>
      <c r="AQ79" s="44"/>
      <c r="AR79" s="75"/>
      <c r="AS79" s="75"/>
      <c r="AT79" s="75"/>
      <c r="AU79" s="75"/>
      <c r="AV79" s="1008"/>
      <c r="AW79" s="1005"/>
      <c r="AX79" s="1005"/>
      <c r="AY79" s="1005"/>
      <c r="AZ79" s="1005"/>
      <c r="BA79" s="1005"/>
      <c r="BB79" s="1005"/>
      <c r="BC79" s="1005"/>
      <c r="BD79" s="1005"/>
      <c r="BE79" s="1005"/>
      <c r="BF79" s="1005"/>
      <c r="BG79" s="1005"/>
      <c r="BH79" s="1005"/>
      <c r="BI79" s="1005"/>
      <c r="BJ79" s="1005"/>
      <c r="BK79" s="1005"/>
      <c r="BL79" s="1005"/>
      <c r="BM79" s="44"/>
      <c r="BN79" s="44"/>
      <c r="BO79" s="44"/>
      <c r="BP79" s="44"/>
      <c r="BQ79" s="44"/>
      <c r="BR79" s="44"/>
      <c r="BS79" s="44"/>
      <c r="BT79" s="44"/>
      <c r="BU79" s="44"/>
      <c r="BV79" s="44"/>
      <c r="BW79" s="44"/>
      <c r="BX79" s="75"/>
      <c r="BY79" s="75"/>
      <c r="BZ79" s="75"/>
      <c r="CA79" s="44"/>
      <c r="CB79" s="44"/>
      <c r="CC79" s="44"/>
      <c r="CD79" s="44"/>
      <c r="CE79" s="44"/>
      <c r="CF79" s="44"/>
      <c r="CG79" s="44"/>
      <c r="CH79" s="44"/>
      <c r="CI79" s="44"/>
      <c r="CJ79" s="44"/>
      <c r="CK79" s="44"/>
      <c r="CL79" s="44"/>
      <c r="CM79" s="44"/>
      <c r="CN79" s="44"/>
      <c r="CO79" s="44"/>
      <c r="CP79" s="44"/>
      <c r="CQ79" s="75"/>
      <c r="CR79" s="75"/>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row>
    <row r="80" spans="1:238" ht="8.25" customHeight="1">
      <c r="A80" s="44"/>
      <c r="B80" s="1005"/>
      <c r="C80" s="1005"/>
      <c r="D80" s="1006"/>
      <c r="E80" s="1005"/>
      <c r="F80" s="1005"/>
      <c r="G80" s="1005"/>
      <c r="H80" s="1007"/>
      <c r="I80" s="1007"/>
      <c r="J80" s="1007"/>
      <c r="K80" s="1007"/>
      <c r="L80" s="1007"/>
      <c r="M80" s="1007"/>
      <c r="N80" s="1007"/>
      <c r="O80" s="1007"/>
      <c r="P80" s="1007"/>
      <c r="Q80" s="1007"/>
      <c r="R80" s="1007"/>
      <c r="S80" s="75"/>
      <c r="T80" s="1142"/>
      <c r="U80" s="75"/>
      <c r="V80" s="1366"/>
      <c r="W80" s="1726"/>
      <c r="X80" s="1728"/>
      <c r="Y80" s="1729"/>
      <c r="Z80" s="1747"/>
      <c r="AA80" s="1724"/>
      <c r="AB80" s="1747"/>
      <c r="AC80" s="1724"/>
      <c r="AD80" s="1747"/>
      <c r="AE80" s="1372"/>
      <c r="AF80" s="1289"/>
      <c r="AG80" s="105"/>
      <c r="AH80" s="1142"/>
      <c r="AI80" s="1007"/>
      <c r="AJ80" s="1003"/>
      <c r="AK80" s="1002"/>
      <c r="AL80" s="1002"/>
      <c r="AM80" s="1002"/>
      <c r="AN80" s="1094"/>
      <c r="AO80" s="1094"/>
      <c r="AP80" s="1094"/>
      <c r="AQ80" s="1094"/>
      <c r="AR80" s="1094"/>
      <c r="AS80" s="75"/>
      <c r="AT80" s="75"/>
      <c r="AU80" s="75"/>
      <c r="AV80" s="1008"/>
      <c r="AW80" s="1005"/>
      <c r="AX80" s="1005"/>
      <c r="AY80" s="1005"/>
      <c r="AZ80" s="1005"/>
      <c r="BA80" s="1005"/>
      <c r="BB80" s="1005"/>
      <c r="BC80" s="1005"/>
      <c r="BD80" s="1005"/>
      <c r="BE80" s="1005"/>
      <c r="BF80" s="1005"/>
      <c r="BG80" s="1005"/>
      <c r="BH80" s="1005"/>
      <c r="BI80" s="1005"/>
      <c r="BJ80" s="1005"/>
      <c r="BK80" s="1005"/>
      <c r="BL80" s="1005"/>
      <c r="BM80" s="44"/>
      <c r="BN80" s="44"/>
      <c r="BO80" s="44"/>
      <c r="BP80" s="44"/>
      <c r="BQ80" s="44"/>
      <c r="BR80" s="44"/>
      <c r="BS80" s="44"/>
      <c r="BT80" s="44"/>
      <c r="BU80" s="44"/>
      <c r="BV80" s="44"/>
      <c r="BW80" s="44"/>
      <c r="BX80" s="75"/>
      <c r="BY80" s="75"/>
      <c r="BZ80" s="75"/>
      <c r="CA80" s="44"/>
      <c r="CB80" s="44"/>
      <c r="CC80" s="44"/>
      <c r="CD80" s="44"/>
      <c r="CE80" s="44"/>
      <c r="CF80" s="44"/>
      <c r="CG80" s="44"/>
      <c r="CH80" s="44"/>
      <c r="CI80" s="44"/>
      <c r="CJ80" s="44"/>
      <c r="CK80" s="44"/>
      <c r="CL80" s="44"/>
      <c r="CM80" s="44"/>
      <c r="CN80" s="44"/>
      <c r="CO80" s="44"/>
      <c r="CP80" s="44"/>
      <c r="CQ80" s="75"/>
      <c r="CR80" s="75"/>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c r="GZ80" s="44"/>
      <c r="HA80" s="44"/>
      <c r="HB80" s="44"/>
      <c r="HC80" s="44"/>
      <c r="HD80" s="44"/>
      <c r="HE80" s="44"/>
      <c r="HF80" s="44"/>
      <c r="HG80" s="44"/>
      <c r="HH80" s="44"/>
      <c r="HI80" s="44"/>
      <c r="HJ80" s="44"/>
      <c r="HK80" s="44"/>
      <c r="HL80" s="44"/>
      <c r="HM80" s="44"/>
      <c r="HN80" s="44"/>
      <c r="HO80" s="44"/>
      <c r="HP80" s="44"/>
      <c r="HQ80" s="44"/>
      <c r="HR80" s="44"/>
      <c r="HS80" s="44"/>
      <c r="HT80" s="44"/>
      <c r="HU80" s="44"/>
      <c r="HV80" s="44"/>
      <c r="HW80" s="44"/>
      <c r="HX80" s="44"/>
      <c r="HY80" s="44"/>
      <c r="HZ80" s="44"/>
      <c r="IA80" s="44"/>
      <c r="IB80" s="44"/>
      <c r="IC80" s="44"/>
      <c r="ID80" s="44"/>
    </row>
    <row r="81" spans="1:238">
      <c r="A81" s="44"/>
      <c r="B81" s="44"/>
      <c r="C81" s="44"/>
      <c r="D81" s="899"/>
      <c r="E81" s="44"/>
      <c r="F81" s="44"/>
      <c r="G81" s="44"/>
      <c r="H81" s="75"/>
      <c r="I81" s="75"/>
      <c r="J81" s="75"/>
      <c r="K81" s="75"/>
      <c r="L81" s="75"/>
      <c r="M81" s="75"/>
      <c r="N81" s="75"/>
      <c r="O81" s="75"/>
      <c r="P81" s="75"/>
      <c r="Q81" s="75"/>
      <c r="R81" s="75"/>
      <c r="S81" s="75"/>
      <c r="T81" s="1142"/>
      <c r="U81" s="75"/>
      <c r="V81" s="1366"/>
      <c r="W81" s="7"/>
      <c r="X81" s="1727" t="str">
        <f>IF($Y$12="NO","",IF($H$7="early",0.8,IF($H$7="mid",0.6,IF($H$7="late",0.6,IF($H$7="dry",IF($AF$15="YES",2,0.3))))))</f>
        <v/>
      </c>
      <c r="Y81" s="1729" t="s">
        <v>583</v>
      </c>
      <c r="Z81" s="1092"/>
      <c r="AA81" s="1723" t="str">
        <f>IF($K$71&gt;0,BS72,"")</f>
        <v/>
      </c>
      <c r="AB81" s="1092"/>
      <c r="AC81" s="1743" t="str">
        <f>IF(AND($Q$34="YES",$O$71&gt;0),BS73,"")</f>
        <v/>
      </c>
      <c r="AE81" s="1372"/>
      <c r="AF81" s="1289"/>
      <c r="AG81" s="105"/>
      <c r="AH81" s="1142"/>
      <c r="AI81" s="75"/>
      <c r="AJ81" s="1003"/>
      <c r="AK81" s="1002"/>
      <c r="AL81" s="1002"/>
      <c r="AM81" s="1002"/>
      <c r="AN81" s="1002"/>
      <c r="AO81" s="75"/>
      <c r="AQ81" s="44"/>
      <c r="AR81" s="75"/>
      <c r="AS81" s="75"/>
      <c r="AT81" s="75"/>
      <c r="AU81" s="75"/>
      <c r="AV81" s="75"/>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75"/>
      <c r="BY81" s="75"/>
      <c r="BZ81" s="75"/>
      <c r="CA81" s="44"/>
      <c r="CB81" s="44"/>
      <c r="CC81" s="44"/>
      <c r="CD81" s="44"/>
      <c r="CE81" s="44"/>
      <c r="CF81" s="44"/>
      <c r="CG81" s="44"/>
      <c r="CH81" s="44"/>
      <c r="CI81" s="44"/>
      <c r="CJ81" s="44"/>
      <c r="CK81" s="44"/>
      <c r="CL81" s="44"/>
      <c r="CM81" s="44"/>
      <c r="CN81" s="44"/>
      <c r="CO81" s="44"/>
      <c r="CP81" s="44"/>
      <c r="CQ81" s="75"/>
      <c r="CR81" s="75"/>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c r="GZ81" s="44"/>
      <c r="HA81" s="44"/>
      <c r="HB81" s="44"/>
      <c r="HC81" s="44"/>
      <c r="HD81" s="44"/>
      <c r="HE81" s="44"/>
      <c r="HF81" s="44"/>
      <c r="HG81" s="44"/>
      <c r="HH81" s="44"/>
      <c r="HI81" s="44"/>
      <c r="HJ81" s="44"/>
      <c r="HK81" s="44"/>
      <c r="HL81" s="44"/>
      <c r="HM81" s="44"/>
      <c r="HN81" s="44"/>
      <c r="HO81" s="44"/>
      <c r="HP81" s="44"/>
      <c r="HQ81" s="44"/>
      <c r="HR81" s="44"/>
      <c r="HS81" s="44"/>
      <c r="HT81" s="44"/>
      <c r="HU81" s="44"/>
      <c r="HV81" s="44"/>
      <c r="HW81" s="44"/>
      <c r="HX81" s="44"/>
      <c r="HY81" s="44"/>
      <c r="HZ81" s="44"/>
      <c r="IA81" s="44"/>
      <c r="IB81" s="44"/>
      <c r="IC81" s="44"/>
      <c r="ID81" s="44"/>
    </row>
    <row r="82" spans="1:238" ht="8.25" customHeight="1">
      <c r="A82" s="44"/>
      <c r="B82" s="44"/>
      <c r="C82" s="44"/>
      <c r="D82" s="899"/>
      <c r="E82" s="44"/>
      <c r="F82" s="44"/>
      <c r="G82" s="44"/>
      <c r="H82" s="75"/>
      <c r="I82" s="75"/>
      <c r="J82" s="75"/>
      <c r="K82" s="75"/>
      <c r="L82" s="75"/>
      <c r="M82" s="75"/>
      <c r="N82" s="75"/>
      <c r="O82" s="75"/>
      <c r="P82" s="75"/>
      <c r="Q82" s="75"/>
      <c r="R82" s="75"/>
      <c r="S82" s="75"/>
      <c r="T82" s="1142"/>
      <c r="U82" s="75"/>
      <c r="V82" s="1366"/>
      <c r="X82" s="1728"/>
      <c r="Y82" s="1729"/>
      <c r="AA82" s="1724"/>
      <c r="AC82" s="1744"/>
      <c r="AD82" s="1092"/>
      <c r="AE82" s="1372"/>
      <c r="AF82" s="1289"/>
      <c r="AG82" s="105"/>
      <c r="AH82" s="1142"/>
      <c r="AI82" s="75"/>
      <c r="AJ82" s="1003"/>
      <c r="AK82" s="1002"/>
      <c r="AL82" s="1002"/>
      <c r="AM82" s="1002"/>
      <c r="AN82" s="1002"/>
      <c r="AO82" s="1002"/>
      <c r="AP82" s="1002"/>
      <c r="AQ82" s="1002"/>
      <c r="AR82" s="1002"/>
      <c r="AS82" s="1002"/>
      <c r="AT82" s="1002"/>
      <c r="AU82" s="1002"/>
      <c r="AV82" s="75"/>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75"/>
      <c r="BY82" s="75"/>
      <c r="BZ82" s="75"/>
      <c r="CA82" s="44"/>
      <c r="CB82" s="44"/>
      <c r="CC82" s="44"/>
      <c r="CD82" s="44"/>
      <c r="CE82" s="44"/>
      <c r="CF82" s="44"/>
      <c r="CG82" s="44"/>
      <c r="CH82" s="44"/>
      <c r="CI82" s="44"/>
      <c r="CJ82" s="44"/>
      <c r="CK82" s="44"/>
      <c r="CL82" s="44"/>
      <c r="CM82" s="44"/>
      <c r="CN82" s="44"/>
      <c r="CO82" s="44"/>
      <c r="CP82" s="44"/>
      <c r="CQ82" s="75"/>
      <c r="CR82" s="75"/>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c r="GZ82" s="44"/>
      <c r="HA82" s="44"/>
      <c r="HB82" s="44"/>
      <c r="HC82" s="44"/>
      <c r="HD82" s="44"/>
      <c r="HE82" s="44"/>
      <c r="HF82" s="44"/>
      <c r="HG82" s="44"/>
      <c r="HH82" s="44"/>
      <c r="HI82" s="44"/>
      <c r="HJ82" s="44"/>
      <c r="HK82" s="44"/>
      <c r="HL82" s="44"/>
      <c r="HM82" s="44"/>
      <c r="HN82" s="44"/>
      <c r="HO82" s="44"/>
      <c r="HP82" s="44"/>
      <c r="HQ82" s="44"/>
      <c r="HR82" s="44"/>
      <c r="HS82" s="44"/>
      <c r="HT82" s="44"/>
      <c r="HU82" s="44"/>
      <c r="HV82" s="44"/>
      <c r="HW82" s="44"/>
      <c r="HX82" s="44"/>
      <c r="HY82" s="44"/>
      <c r="HZ82" s="44"/>
      <c r="IA82" s="44"/>
      <c r="IB82" s="44"/>
      <c r="IC82" s="44"/>
      <c r="ID82" s="44"/>
    </row>
    <row r="83" spans="1:238">
      <c r="A83" s="44"/>
      <c r="B83" s="44"/>
      <c r="C83" s="44"/>
      <c r="D83" s="899"/>
      <c r="E83" s="44"/>
      <c r="F83" s="44"/>
      <c r="G83" s="44"/>
      <c r="H83" s="75"/>
      <c r="I83" s="75"/>
      <c r="J83" s="75"/>
      <c r="K83" s="75"/>
      <c r="L83" s="75"/>
      <c r="M83" s="75"/>
      <c r="N83" s="75"/>
      <c r="O83" s="75"/>
      <c r="P83" s="75"/>
      <c r="Q83" s="75"/>
      <c r="R83" s="75"/>
      <c r="S83" s="75"/>
      <c r="T83" s="1142"/>
      <c r="U83" s="75"/>
      <c r="V83" s="1366"/>
      <c r="AE83" s="1372"/>
      <c r="AF83" s="1289"/>
      <c r="AG83" s="105"/>
      <c r="AH83" s="1142"/>
      <c r="AI83" s="75"/>
      <c r="AJ83" s="1003"/>
      <c r="AK83" s="75"/>
      <c r="AL83" s="75"/>
      <c r="AM83" s="75"/>
      <c r="AN83" s="75"/>
      <c r="AO83" s="75"/>
      <c r="AQ83" s="75"/>
      <c r="AR83" s="1069"/>
      <c r="AS83" s="75"/>
      <c r="AT83" s="75"/>
      <c r="AU83" s="75"/>
      <c r="AV83" s="75"/>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75"/>
      <c r="BY83" s="75"/>
      <c r="BZ83" s="75"/>
      <c r="CA83" s="44"/>
      <c r="CB83" s="44"/>
      <c r="CC83" s="44"/>
      <c r="CD83" s="44"/>
      <c r="CE83" s="44"/>
      <c r="CF83" s="44"/>
      <c r="CG83" s="44"/>
      <c r="CH83" s="44"/>
      <c r="CI83" s="44"/>
      <c r="CJ83" s="44"/>
      <c r="CK83" s="44"/>
      <c r="CL83" s="44"/>
      <c r="CM83" s="44"/>
      <c r="CN83" s="44"/>
      <c r="CO83" s="44"/>
      <c r="CP83" s="44"/>
      <c r="CQ83" s="75"/>
      <c r="CR83" s="75"/>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c r="GZ83" s="44"/>
      <c r="HA83" s="44"/>
      <c r="HB83" s="44"/>
      <c r="HC83" s="44"/>
      <c r="HD83" s="44"/>
      <c r="HE83" s="44"/>
      <c r="HF83" s="44"/>
      <c r="HG83" s="44"/>
      <c r="HH83" s="44"/>
      <c r="HI83" s="44"/>
      <c r="HJ83" s="44"/>
      <c r="HK83" s="44"/>
      <c r="HL83" s="44"/>
      <c r="HM83" s="44"/>
      <c r="HN83" s="44"/>
      <c r="HO83" s="44"/>
      <c r="HP83" s="44"/>
      <c r="HQ83" s="44"/>
      <c r="HR83" s="44"/>
      <c r="HS83" s="44"/>
      <c r="HT83" s="44"/>
      <c r="HU83" s="44"/>
      <c r="HV83" s="44"/>
      <c r="HW83" s="44"/>
      <c r="HX83" s="44"/>
      <c r="HY83" s="44"/>
      <c r="HZ83" s="44"/>
      <c r="IA83" s="44"/>
      <c r="IB83" s="44"/>
      <c r="IC83" s="44"/>
      <c r="ID83" s="44"/>
    </row>
    <row r="84" spans="1:238">
      <c r="A84" s="44"/>
      <c r="B84" s="44"/>
      <c r="C84" s="44"/>
      <c r="D84" s="899"/>
      <c r="E84" s="44"/>
      <c r="F84" s="44"/>
      <c r="G84" s="44"/>
      <c r="H84" s="75"/>
      <c r="I84" s="75"/>
      <c r="J84" s="75"/>
      <c r="K84" s="75"/>
      <c r="L84" s="75"/>
      <c r="M84" s="75"/>
      <c r="N84" s="75"/>
      <c r="O84" s="75"/>
      <c r="P84" s="75"/>
      <c r="Q84" s="75"/>
      <c r="R84" s="75"/>
      <c r="S84" s="75"/>
      <c r="T84" s="1142"/>
      <c r="U84" s="75"/>
      <c r="V84" s="1366"/>
      <c r="W84" s="1725" t="s">
        <v>263</v>
      </c>
      <c r="X84" s="1745" t="str">
        <f>IF($Y$12="No","",IF($H$7="early",0.35,IF($H$7="mid",0.3,IF($H$7="late",0.3,IF($H$7="dry",IF(AF15="YES",0.25,0.3))))))</f>
        <v/>
      </c>
      <c r="Y84" s="1729" t="s">
        <v>410</v>
      </c>
      <c r="Z84" s="1747" t="str">
        <f>IF(AF15="YES","i","")</f>
        <v/>
      </c>
      <c r="AA84" s="1723" t="str">
        <f>IF($K$71&gt;0,BT72,"")</f>
        <v/>
      </c>
      <c r="AB84" s="1732"/>
      <c r="AC84" s="1723" t="str">
        <f>IF(AND($Q$34="YES",$O$71&gt;0),BT73,"")</f>
        <v/>
      </c>
      <c r="AD84" s="1858"/>
      <c r="AE84" s="1372"/>
      <c r="AF84" s="1289"/>
      <c r="AG84" s="105"/>
      <c r="AH84" s="1142"/>
      <c r="AI84" s="75"/>
      <c r="AJ84" s="1003"/>
      <c r="AK84" s="75"/>
      <c r="AL84" s="75"/>
      <c r="AM84" s="75"/>
      <c r="AN84" s="75"/>
      <c r="AO84" s="75"/>
      <c r="AQ84" s="75"/>
      <c r="AR84" s="75"/>
      <c r="AS84" s="75"/>
      <c r="AT84" s="75"/>
      <c r="AU84" s="75"/>
      <c r="AV84" s="75"/>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75"/>
      <c r="BY84" s="75"/>
      <c r="BZ84" s="75"/>
      <c r="CA84" s="44"/>
      <c r="CB84" s="44"/>
      <c r="CC84" s="44"/>
      <c r="CD84" s="44"/>
      <c r="CE84" s="44"/>
      <c r="CF84" s="44"/>
      <c r="CG84" s="44"/>
      <c r="CH84" s="44"/>
      <c r="CI84" s="44"/>
      <c r="CJ84" s="44"/>
      <c r="CK84" s="44"/>
      <c r="CL84" s="44"/>
      <c r="CM84" s="44"/>
      <c r="CN84" s="44"/>
      <c r="CO84" s="44"/>
      <c r="CP84" s="44"/>
      <c r="CQ84" s="75"/>
      <c r="CR84" s="75"/>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c r="GZ84" s="44"/>
      <c r="HA84" s="44"/>
      <c r="HB84" s="44"/>
      <c r="HC84" s="44"/>
      <c r="HD84" s="44"/>
      <c r="HE84" s="44"/>
      <c r="HF84" s="44"/>
      <c r="HG84" s="44"/>
      <c r="HH84" s="44"/>
      <c r="HI84" s="44"/>
      <c r="HJ84" s="44"/>
      <c r="HK84" s="44"/>
      <c r="HL84" s="44"/>
      <c r="HM84" s="44"/>
      <c r="HN84" s="44"/>
      <c r="HO84" s="44"/>
      <c r="HP84" s="44"/>
      <c r="HQ84" s="44"/>
      <c r="HR84" s="44"/>
      <c r="HS84" s="44"/>
      <c r="HT84" s="44"/>
      <c r="HU84" s="44"/>
      <c r="HV84" s="44"/>
      <c r="HW84" s="44"/>
      <c r="HX84" s="44"/>
      <c r="HY84" s="44"/>
      <c r="HZ84" s="44"/>
      <c r="IA84" s="44"/>
      <c r="IB84" s="44"/>
      <c r="IC84" s="44"/>
      <c r="ID84" s="44"/>
    </row>
    <row r="85" spans="1:238" ht="8.25" customHeight="1">
      <c r="A85" s="44"/>
      <c r="B85" s="44"/>
      <c r="C85" s="44"/>
      <c r="D85" s="899"/>
      <c r="E85" s="44"/>
      <c r="F85" s="44"/>
      <c r="G85" s="44"/>
      <c r="H85" s="75"/>
      <c r="I85" s="75"/>
      <c r="J85" s="75"/>
      <c r="K85" s="75"/>
      <c r="L85" s="75"/>
      <c r="M85" s="75"/>
      <c r="N85" s="75"/>
      <c r="O85" s="75"/>
      <c r="P85" s="75"/>
      <c r="Q85" s="75"/>
      <c r="R85" s="75"/>
      <c r="S85" s="75"/>
      <c r="T85" s="1142"/>
      <c r="U85" s="75"/>
      <c r="V85" s="1366"/>
      <c r="W85" s="1726"/>
      <c r="X85" s="1746"/>
      <c r="Y85" s="1729"/>
      <c r="Z85" s="1747"/>
      <c r="AA85" s="1724"/>
      <c r="AB85" s="1732"/>
      <c r="AC85" s="1724"/>
      <c r="AD85" s="1858"/>
      <c r="AE85" s="1372"/>
      <c r="AF85" s="1289"/>
      <c r="AG85" s="105"/>
      <c r="AH85" s="1142"/>
      <c r="AI85" s="75"/>
      <c r="AJ85" s="1003"/>
      <c r="AK85" s="75"/>
      <c r="AL85" s="75"/>
      <c r="AM85" s="75"/>
      <c r="AN85" s="75"/>
      <c r="AO85" s="75"/>
      <c r="AQ85" s="75"/>
      <c r="AR85" s="75"/>
      <c r="AS85" s="75"/>
      <c r="AT85" s="75"/>
      <c r="AU85" s="75"/>
      <c r="AV85" s="75"/>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75"/>
      <c r="BY85" s="75"/>
      <c r="BZ85" s="75"/>
      <c r="CA85" s="44"/>
      <c r="CB85" s="44"/>
      <c r="CC85" s="44"/>
      <c r="CD85" s="44"/>
      <c r="CE85" s="44"/>
      <c r="CF85" s="44"/>
      <c r="CG85" s="44"/>
      <c r="CH85" s="44"/>
      <c r="CI85" s="44"/>
      <c r="CJ85" s="44"/>
      <c r="CK85" s="44"/>
      <c r="CL85" s="44"/>
      <c r="CM85" s="44"/>
      <c r="CN85" s="44"/>
      <c r="CO85" s="44"/>
      <c r="CP85" s="44"/>
      <c r="CQ85" s="75"/>
      <c r="CR85" s="75"/>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row>
    <row r="86" spans="1:238" ht="15" customHeight="1">
      <c r="A86" s="44"/>
      <c r="B86" s="44"/>
      <c r="C86" s="44"/>
      <c r="D86" s="899"/>
      <c r="E86" s="44"/>
      <c r="F86" s="44"/>
      <c r="G86" s="44"/>
      <c r="H86" s="75"/>
      <c r="I86" s="75"/>
      <c r="J86" s="75"/>
      <c r="K86" s="75"/>
      <c r="L86" s="75"/>
      <c r="M86" s="75"/>
      <c r="N86" s="75"/>
      <c r="O86" s="75"/>
      <c r="P86" s="75"/>
      <c r="Q86" s="75"/>
      <c r="R86" s="75"/>
      <c r="S86" s="75"/>
      <c r="T86" s="1142"/>
      <c r="U86" s="75"/>
      <c r="V86" s="1366"/>
      <c r="W86" s="7"/>
      <c r="X86" s="1745" t="str">
        <f>IF($Y$12="NO","",IF($H$7="early","0.35",IF($H$7="mid","0.30",IF($H$7="late","0.30",IF($H$7="dry",IF(AF15="YES",0.45,"0.35"))))))</f>
        <v/>
      </c>
      <c r="Y86" s="1748" t="s">
        <v>583</v>
      </c>
      <c r="Z86" s="1101"/>
      <c r="AA86" s="1723" t="str">
        <f>IF($K$71&gt;0,BT72,"")</f>
        <v/>
      </c>
      <c r="AC86" s="1723" t="str">
        <f>IF(AND($Q$34="YES",$O$71&gt;0),BT73,"")</f>
        <v/>
      </c>
      <c r="AE86" s="1372"/>
      <c r="AF86" s="1289"/>
      <c r="AG86" s="105"/>
      <c r="AH86" s="1142"/>
      <c r="AI86" s="75"/>
      <c r="AJ86" s="1003"/>
      <c r="AK86" s="75"/>
      <c r="AL86" s="75"/>
      <c r="AM86" s="75"/>
      <c r="AN86" s="75"/>
      <c r="AO86" s="75"/>
      <c r="AQ86" s="75"/>
      <c r="AR86" s="75"/>
      <c r="AS86" s="75"/>
      <c r="AT86" s="75"/>
      <c r="AU86" s="75"/>
      <c r="AV86" s="75"/>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75"/>
      <c r="BY86" s="75"/>
      <c r="BZ86" s="75"/>
      <c r="CA86" s="44"/>
      <c r="CB86" s="44"/>
      <c r="CC86" s="44"/>
      <c r="CD86" s="44"/>
      <c r="CE86" s="44"/>
      <c r="CF86" s="44"/>
      <c r="CG86" s="44"/>
      <c r="CH86" s="44"/>
      <c r="CI86" s="44"/>
      <c r="CJ86" s="44"/>
      <c r="CK86" s="44"/>
      <c r="CL86" s="44"/>
      <c r="CM86" s="44"/>
      <c r="CN86" s="44"/>
      <c r="CO86" s="44"/>
      <c r="CP86" s="44"/>
      <c r="CQ86" s="75"/>
      <c r="CR86" s="75"/>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row>
    <row r="87" spans="1:238" ht="8.25" customHeight="1">
      <c r="A87" s="44"/>
      <c r="B87" s="44"/>
      <c r="C87" s="44"/>
      <c r="D87" s="899"/>
      <c r="E87" s="44"/>
      <c r="F87" s="44"/>
      <c r="G87" s="44"/>
      <c r="H87" s="75"/>
      <c r="I87" s="75"/>
      <c r="J87" s="75"/>
      <c r="K87" s="75"/>
      <c r="L87" s="75"/>
      <c r="M87" s="75"/>
      <c r="N87" s="75"/>
      <c r="O87" s="75"/>
      <c r="P87" s="75"/>
      <c r="Q87" s="75"/>
      <c r="R87" s="75"/>
      <c r="S87" s="75"/>
      <c r="T87" s="1142"/>
      <c r="U87" s="75"/>
      <c r="V87" s="1366"/>
      <c r="W87" s="7"/>
      <c r="X87" s="1746"/>
      <c r="Y87" s="1748"/>
      <c r="Z87" s="7"/>
      <c r="AA87" s="1724"/>
      <c r="AB87" s="7"/>
      <c r="AC87" s="1724"/>
      <c r="AD87" s="7"/>
      <c r="AE87" s="1372"/>
      <c r="AF87" s="1289"/>
      <c r="AG87" s="105"/>
      <c r="AH87" s="1142"/>
      <c r="AI87" s="75"/>
      <c r="AJ87" s="1003"/>
      <c r="AK87" s="75"/>
      <c r="AL87" s="75"/>
      <c r="AM87" s="75"/>
      <c r="AN87" s="75"/>
      <c r="AO87" s="75"/>
      <c r="AQ87" s="75"/>
      <c r="AR87" s="75"/>
      <c r="AS87" s="75"/>
      <c r="AT87" s="75"/>
      <c r="AU87" s="75"/>
      <c r="AV87" s="75"/>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75"/>
      <c r="BY87" s="75"/>
      <c r="BZ87" s="75"/>
      <c r="CA87" s="44"/>
      <c r="CB87" s="44"/>
      <c r="CC87" s="44"/>
      <c r="CD87" s="44"/>
      <c r="CE87" s="44"/>
      <c r="CF87" s="44"/>
      <c r="CG87" s="44"/>
      <c r="CH87" s="44"/>
      <c r="CI87" s="44"/>
      <c r="CJ87" s="44"/>
      <c r="CK87" s="44"/>
      <c r="CL87" s="44"/>
      <c r="CM87" s="44"/>
      <c r="CN87" s="44"/>
      <c r="CO87" s="44"/>
      <c r="CP87" s="44"/>
      <c r="CQ87" s="75"/>
      <c r="CR87" s="75"/>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row>
    <row r="88" spans="1:238">
      <c r="A88" s="44"/>
      <c r="B88" s="44"/>
      <c r="C88" s="44"/>
      <c r="D88" s="899"/>
      <c r="E88" s="44"/>
      <c r="F88" s="44"/>
      <c r="G88" s="44"/>
      <c r="H88" s="75"/>
      <c r="I88" s="75"/>
      <c r="J88" s="75"/>
      <c r="K88" s="75"/>
      <c r="L88" s="75"/>
      <c r="M88" s="75"/>
      <c r="N88" s="75"/>
      <c r="O88" s="75"/>
      <c r="P88" s="75"/>
      <c r="Q88" s="75"/>
      <c r="R88" s="75"/>
      <c r="S88" s="75"/>
      <c r="T88" s="1142"/>
      <c r="U88" s="75"/>
      <c r="V88" s="1366"/>
      <c r="W88" s="1"/>
      <c r="X88" s="1124"/>
      <c r="Y88" s="1124"/>
      <c r="Z88" s="1124"/>
      <c r="AA88" s="1124"/>
      <c r="AB88" s="1124"/>
      <c r="AE88" s="1372"/>
      <c r="AF88" s="1289"/>
      <c r="AG88" s="105"/>
      <c r="AH88" s="1142"/>
      <c r="AI88" s="75"/>
      <c r="AJ88" s="1003"/>
      <c r="AK88" s="75"/>
      <c r="AL88" s="75"/>
      <c r="AM88" s="75"/>
      <c r="AN88" s="75"/>
      <c r="AO88" s="75"/>
      <c r="AQ88" s="75"/>
      <c r="AR88" s="75"/>
      <c r="AS88" s="75"/>
      <c r="AT88" s="75"/>
      <c r="AU88" s="75"/>
      <c r="AV88" s="75"/>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75"/>
      <c r="BY88" s="75"/>
      <c r="BZ88" s="75"/>
      <c r="CA88" s="44"/>
      <c r="CB88" s="44"/>
      <c r="CC88" s="44"/>
      <c r="CD88" s="44"/>
      <c r="CE88" s="44"/>
      <c r="CF88" s="44"/>
      <c r="CG88" s="44"/>
      <c r="CH88" s="44"/>
      <c r="CI88" s="44"/>
      <c r="CJ88" s="44"/>
      <c r="CK88" s="44"/>
      <c r="CL88" s="44"/>
      <c r="CM88" s="44"/>
      <c r="CN88" s="44"/>
      <c r="CO88" s="44"/>
      <c r="CP88" s="44"/>
      <c r="CQ88" s="75"/>
      <c r="CR88" s="75"/>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row>
    <row r="89" spans="1:238">
      <c r="A89" s="44"/>
      <c r="B89" s="44"/>
      <c r="C89" s="44"/>
      <c r="D89" s="899"/>
      <c r="E89" s="44"/>
      <c r="F89" s="44"/>
      <c r="G89" s="44"/>
      <c r="H89" s="75"/>
      <c r="I89" s="75"/>
      <c r="J89" s="75"/>
      <c r="K89" s="75"/>
      <c r="L89" s="75"/>
      <c r="M89" s="75"/>
      <c r="N89" s="75"/>
      <c r="O89" s="75"/>
      <c r="P89" s="75"/>
      <c r="Q89" s="75"/>
      <c r="R89" s="75"/>
      <c r="S89" s="75"/>
      <c r="T89" s="1142"/>
      <c r="U89" s="75"/>
      <c r="V89" s="1366"/>
      <c r="W89" s="1733" t="s">
        <v>430</v>
      </c>
      <c r="X89" s="1733"/>
      <c r="Y89" s="1733"/>
      <c r="Z89" s="1733"/>
      <c r="AA89" s="1733"/>
      <c r="AB89" s="1733"/>
      <c r="AC89" s="1126" t="s">
        <v>180</v>
      </c>
      <c r="AE89" s="1372"/>
      <c r="AF89" s="1289"/>
      <c r="AG89" s="105"/>
      <c r="AH89" s="1142"/>
      <c r="AI89" s="75"/>
      <c r="AJ89" s="1003"/>
      <c r="AK89" s="75"/>
      <c r="AL89" s="75"/>
      <c r="AM89" s="75"/>
      <c r="AN89" s="75"/>
      <c r="AO89" s="75"/>
      <c r="AQ89" s="75"/>
      <c r="AR89" s="75"/>
      <c r="AS89" s="75"/>
      <c r="AT89" s="75"/>
      <c r="AU89" s="75"/>
      <c r="AV89" s="75"/>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75"/>
      <c r="BY89" s="75"/>
      <c r="BZ89" s="75"/>
      <c r="CA89" s="44"/>
      <c r="CB89" s="44"/>
      <c r="CC89" s="44"/>
      <c r="CD89" s="44"/>
      <c r="CE89" s="44"/>
      <c r="CF89" s="44"/>
      <c r="CG89" s="44"/>
      <c r="CH89" s="44"/>
      <c r="CI89" s="44"/>
      <c r="CJ89" s="44"/>
      <c r="CK89" s="44"/>
      <c r="CL89" s="44"/>
      <c r="CM89" s="44"/>
      <c r="CN89" s="44"/>
      <c r="CO89" s="44"/>
      <c r="CP89" s="44"/>
      <c r="CQ89" s="75"/>
      <c r="CR89" s="75"/>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row>
    <row r="90" spans="1:238" ht="15.6">
      <c r="A90" s="44"/>
      <c r="B90" s="44"/>
      <c r="C90" s="44"/>
      <c r="D90" s="899"/>
      <c r="E90" s="44"/>
      <c r="F90" s="44"/>
      <c r="G90" s="44"/>
      <c r="H90" s="75"/>
      <c r="I90" s="75"/>
      <c r="J90" s="75"/>
      <c r="K90" s="75"/>
      <c r="L90" s="75"/>
      <c r="M90" s="75"/>
      <c r="N90" s="75"/>
      <c r="O90" s="75"/>
      <c r="P90" s="75"/>
      <c r="Q90" s="75"/>
      <c r="R90" s="75"/>
      <c r="S90" s="75"/>
      <c r="T90" s="1142"/>
      <c r="U90" s="75"/>
      <c r="V90" s="1366"/>
      <c r="W90" s="1253" t="s">
        <v>264</v>
      </c>
      <c r="X90" s="1124"/>
      <c r="Y90" s="1124"/>
      <c r="Z90" s="1124"/>
      <c r="AA90" s="1124"/>
      <c r="AB90" s="1124"/>
      <c r="AC90" s="1257" t="str">
        <f>IF(AND($H$7="Dry",AD15="YES",AC89="YES"),"YES","NO")</f>
        <v>NO</v>
      </c>
      <c r="AE90" s="1372"/>
      <c r="AF90" s="1289"/>
      <c r="AG90" s="105"/>
      <c r="AH90" s="1142"/>
      <c r="AI90" s="75"/>
      <c r="AJ90" s="1003"/>
      <c r="AK90" s="75"/>
      <c r="AL90" s="75"/>
      <c r="AM90" s="75"/>
      <c r="AN90" s="75"/>
      <c r="AO90" s="75"/>
      <c r="AQ90" s="75"/>
      <c r="AR90" s="75"/>
      <c r="AS90" s="75"/>
      <c r="AT90" s="75"/>
      <c r="AU90" s="75"/>
      <c r="AV90" s="75"/>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75"/>
      <c r="BY90" s="75"/>
      <c r="BZ90" s="75"/>
      <c r="CA90" s="44"/>
      <c r="CB90" s="44"/>
      <c r="CC90" s="44"/>
      <c r="CD90" s="44"/>
      <c r="CE90" s="44"/>
      <c r="CF90" s="44"/>
      <c r="CG90" s="44"/>
      <c r="CH90" s="44"/>
      <c r="CI90" s="44"/>
      <c r="CJ90" s="44"/>
      <c r="CK90" s="44"/>
      <c r="CL90" s="44"/>
      <c r="CM90" s="44"/>
      <c r="CN90" s="44"/>
      <c r="CO90" s="44"/>
      <c r="CP90" s="44"/>
      <c r="CQ90" s="75"/>
      <c r="CR90" s="75"/>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row>
    <row r="91" spans="1:238">
      <c r="A91" s="44"/>
      <c r="B91" s="44"/>
      <c r="C91" s="44"/>
      <c r="D91" s="899"/>
      <c r="E91" s="44"/>
      <c r="F91" s="44"/>
      <c r="G91" s="44"/>
      <c r="H91" s="75"/>
      <c r="I91" s="75"/>
      <c r="J91" s="75"/>
      <c r="K91" s="75"/>
      <c r="L91" s="75"/>
      <c r="M91" s="75"/>
      <c r="N91" s="75"/>
      <c r="O91" s="75"/>
      <c r="P91" s="75"/>
      <c r="Q91" s="75"/>
      <c r="R91" s="75"/>
      <c r="S91" s="75"/>
      <c r="T91" s="1142"/>
      <c r="U91" s="75"/>
      <c r="V91" s="1366"/>
      <c r="W91" s="1127"/>
      <c r="X91" s="1009" t="s">
        <v>297</v>
      </c>
      <c r="Y91" s="1009"/>
      <c r="Z91" s="1124"/>
      <c r="AA91" s="1124"/>
      <c r="AB91" s="1124"/>
      <c r="AE91" s="1372"/>
      <c r="AF91" s="1289"/>
      <c r="AG91" s="105"/>
      <c r="AH91" s="1142"/>
      <c r="AI91" s="75"/>
      <c r="AJ91" s="1003"/>
      <c r="AK91" s="75"/>
      <c r="AL91" s="75"/>
      <c r="AM91" s="75"/>
      <c r="AN91" s="75"/>
      <c r="AO91" s="75"/>
      <c r="AQ91" s="75"/>
      <c r="AR91" s="75"/>
      <c r="AS91" s="75"/>
      <c r="AT91" s="75"/>
      <c r="AU91" s="75"/>
      <c r="AV91" s="75"/>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75"/>
      <c r="BY91" s="75"/>
      <c r="BZ91" s="75"/>
      <c r="CA91" s="44"/>
      <c r="CB91" s="44"/>
      <c r="CC91" s="44"/>
      <c r="CD91" s="44"/>
      <c r="CE91" s="44"/>
      <c r="CF91" s="44"/>
      <c r="CG91" s="44"/>
      <c r="CH91" s="44"/>
      <c r="CI91" s="44"/>
      <c r="CJ91" s="44"/>
      <c r="CK91" s="44"/>
      <c r="CL91" s="44"/>
      <c r="CM91" s="44"/>
      <c r="CN91" s="44"/>
      <c r="CO91" s="44"/>
      <c r="CP91" s="44"/>
      <c r="CQ91" s="75"/>
      <c r="CR91" s="75"/>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row>
    <row r="92" spans="1:238">
      <c r="A92" s="44"/>
      <c r="B92" s="44"/>
      <c r="C92" s="44"/>
      <c r="D92" s="899"/>
      <c r="E92" s="44"/>
      <c r="F92" s="44"/>
      <c r="G92" s="44"/>
      <c r="H92" s="75"/>
      <c r="I92" s="75"/>
      <c r="J92" s="75"/>
      <c r="K92" s="75"/>
      <c r="L92" s="75"/>
      <c r="M92" s="75"/>
      <c r="N92" s="75"/>
      <c r="O92" s="75"/>
      <c r="P92" s="75"/>
      <c r="Q92" s="75"/>
      <c r="R92" s="75"/>
      <c r="S92" s="75"/>
      <c r="T92" s="1142"/>
      <c r="U92" s="75"/>
      <c r="V92" s="1366"/>
      <c r="W92" s="1734" t="s">
        <v>487</v>
      </c>
      <c r="X92" s="1736" t="s">
        <v>298</v>
      </c>
      <c r="Y92" s="1360"/>
      <c r="Z92" s="1738" t="str">
        <f>IF(AC89="YES","i","")</f>
        <v/>
      </c>
      <c r="AA92" s="1739">
        <f>BV72</f>
        <v>0</v>
      </c>
      <c r="AC92" s="1741">
        <f>BV73</f>
        <v>0</v>
      </c>
      <c r="AE92" s="1367"/>
      <c r="AF92" s="1289"/>
      <c r="AG92" s="105"/>
      <c r="AH92" s="1142"/>
      <c r="AI92" s="75"/>
      <c r="AJ92" s="1003"/>
      <c r="AK92" s="75"/>
      <c r="AL92" s="75"/>
      <c r="AM92" s="75"/>
      <c r="AN92" s="75"/>
      <c r="AO92" s="75"/>
      <c r="AQ92" s="75"/>
      <c r="AR92" s="75"/>
      <c r="AS92" s="75"/>
      <c r="AT92" s="75"/>
      <c r="AU92" s="75"/>
      <c r="AV92" s="75"/>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75"/>
      <c r="BY92" s="75"/>
      <c r="BZ92" s="75"/>
      <c r="CA92" s="44"/>
      <c r="CB92" s="44"/>
      <c r="CC92" s="44"/>
      <c r="CD92" s="44"/>
      <c r="CE92" s="44"/>
      <c r="CF92" s="44"/>
      <c r="CG92" s="44"/>
      <c r="CH92" s="44"/>
      <c r="CI92" s="44"/>
      <c r="CJ92" s="44"/>
      <c r="CK92" s="44"/>
      <c r="CL92" s="44"/>
      <c r="CM92" s="44"/>
      <c r="CN92" s="44"/>
      <c r="CO92" s="44"/>
      <c r="CP92" s="44"/>
      <c r="CQ92" s="75"/>
      <c r="CR92" s="75"/>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row>
    <row r="93" spans="1:238" ht="8.25" customHeight="1">
      <c r="A93" s="44"/>
      <c r="B93" s="44"/>
      <c r="C93" s="44"/>
      <c r="D93" s="899"/>
      <c r="E93" s="44"/>
      <c r="F93" s="44"/>
      <c r="G93" s="44"/>
      <c r="H93" s="75"/>
      <c r="I93" s="75"/>
      <c r="J93" s="75"/>
      <c r="K93" s="75"/>
      <c r="L93" s="75"/>
      <c r="M93" s="75"/>
      <c r="N93" s="75"/>
      <c r="O93" s="75"/>
      <c r="P93" s="75"/>
      <c r="Q93" s="75"/>
      <c r="R93" s="75"/>
      <c r="S93" s="75"/>
      <c r="T93" s="1142"/>
      <c r="U93" s="75"/>
      <c r="V93" s="1366"/>
      <c r="W93" s="1735"/>
      <c r="X93" s="1737"/>
      <c r="Y93" s="1360"/>
      <c r="Z93" s="1738"/>
      <c r="AA93" s="1740"/>
      <c r="AC93" s="1742"/>
      <c r="AE93" s="1367"/>
      <c r="AF93" s="1289"/>
      <c r="AG93" s="105"/>
      <c r="AH93" s="1142"/>
      <c r="AI93" s="75"/>
      <c r="AJ93" s="1003"/>
      <c r="AK93" s="75"/>
      <c r="AL93" s="75"/>
      <c r="AM93" s="75"/>
      <c r="AN93" s="75"/>
      <c r="AO93" s="75"/>
      <c r="AQ93" s="75"/>
      <c r="AR93" s="75"/>
      <c r="AS93" s="75"/>
      <c r="AT93" s="75"/>
      <c r="AU93" s="75"/>
      <c r="AV93" s="75"/>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75"/>
      <c r="BY93" s="75"/>
      <c r="BZ93" s="75"/>
      <c r="CA93" s="44"/>
      <c r="CB93" s="44"/>
      <c r="CC93" s="44"/>
      <c r="CD93" s="44"/>
      <c r="CE93" s="44"/>
      <c r="CF93" s="44"/>
      <c r="CG93" s="44"/>
      <c r="CH93" s="44"/>
      <c r="CI93" s="44"/>
      <c r="CJ93" s="44"/>
      <c r="CK93" s="44"/>
      <c r="CL93" s="44"/>
      <c r="CM93" s="44"/>
      <c r="CN93" s="44"/>
      <c r="CO93" s="44"/>
      <c r="CP93" s="44"/>
      <c r="CQ93" s="75"/>
      <c r="CR93" s="75"/>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row>
    <row r="94" spans="1:238" ht="22.5" customHeight="1">
      <c r="A94" s="44"/>
      <c r="B94" s="44"/>
      <c r="C94" s="44"/>
      <c r="D94" s="899"/>
      <c r="E94" s="44"/>
      <c r="F94" s="44"/>
      <c r="G94" s="44"/>
      <c r="H94" s="75"/>
      <c r="I94" s="75"/>
      <c r="J94" s="75"/>
      <c r="K94" s="75"/>
      <c r="L94" s="75"/>
      <c r="M94" s="75"/>
      <c r="N94" s="75"/>
      <c r="O94" s="75"/>
      <c r="P94" s="75"/>
      <c r="Q94" s="75"/>
      <c r="R94" s="75"/>
      <c r="S94" s="75"/>
      <c r="T94" s="1142"/>
      <c r="U94" s="75"/>
      <c r="V94" s="1366"/>
      <c r="AE94" s="1367"/>
      <c r="AF94" s="1289"/>
      <c r="AG94" s="105"/>
      <c r="AH94" s="1142"/>
      <c r="AI94" s="75"/>
      <c r="AJ94" s="1003"/>
      <c r="AK94" s="75"/>
      <c r="AL94" s="75"/>
      <c r="AM94" s="75"/>
      <c r="AN94" s="75"/>
      <c r="AO94" s="75"/>
      <c r="AQ94" s="75"/>
      <c r="AR94" s="75"/>
      <c r="AS94" s="75"/>
      <c r="AT94" s="75"/>
      <c r="AU94" s="75"/>
      <c r="AV94" s="75"/>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75"/>
      <c r="BY94" s="75"/>
      <c r="BZ94" s="75"/>
      <c r="CA94" s="44"/>
      <c r="CB94" s="44"/>
      <c r="CC94" s="44"/>
      <c r="CD94" s="44"/>
      <c r="CE94" s="44"/>
      <c r="CF94" s="44"/>
      <c r="CG94" s="44"/>
      <c r="CH94" s="44"/>
      <c r="CI94" s="44"/>
      <c r="CJ94" s="44"/>
      <c r="CK94" s="44"/>
      <c r="CL94" s="44"/>
      <c r="CM94" s="44"/>
      <c r="CN94" s="44"/>
      <c r="CO94" s="44"/>
      <c r="CP94" s="44"/>
      <c r="CQ94" s="75"/>
      <c r="CR94" s="75"/>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row>
    <row r="95" spans="1:238">
      <c r="A95" s="44"/>
      <c r="B95" s="44"/>
      <c r="C95" s="44"/>
      <c r="D95" s="899"/>
      <c r="E95" s="44"/>
      <c r="F95" s="44"/>
      <c r="G95" s="44"/>
      <c r="H95" s="75"/>
      <c r="I95" s="75"/>
      <c r="J95" s="75"/>
      <c r="K95" s="75"/>
      <c r="L95" s="75"/>
      <c r="M95" s="75"/>
      <c r="N95" s="75"/>
      <c r="O95" s="75"/>
      <c r="P95" s="75"/>
      <c r="Q95" s="75"/>
      <c r="R95" s="75"/>
      <c r="S95" s="75"/>
      <c r="T95" s="1142"/>
      <c r="U95" s="75"/>
      <c r="V95" s="1373"/>
      <c r="W95" s="1374"/>
      <c r="X95" s="1374"/>
      <c r="Y95" s="1374"/>
      <c r="Z95" s="1374"/>
      <c r="AA95" s="1374"/>
      <c r="AB95" s="1374"/>
      <c r="AC95" s="1374"/>
      <c r="AD95" s="1374"/>
      <c r="AE95" s="1375"/>
      <c r="AF95" s="1289"/>
      <c r="AG95" s="105"/>
      <c r="AH95" s="1142"/>
      <c r="AI95" s="75"/>
      <c r="AJ95" s="1003"/>
      <c r="AK95" s="75"/>
      <c r="AL95" s="75"/>
      <c r="AM95" s="75"/>
      <c r="AN95" s="75"/>
      <c r="AO95" s="75"/>
      <c r="AQ95" s="75"/>
      <c r="AR95" s="75"/>
      <c r="AS95" s="75"/>
      <c r="AT95" s="75"/>
      <c r="AU95" s="75"/>
      <c r="AV95" s="75"/>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75"/>
      <c r="BY95" s="75"/>
      <c r="BZ95" s="75"/>
      <c r="CA95" s="44"/>
      <c r="CB95" s="44"/>
      <c r="CC95" s="44"/>
      <c r="CD95" s="44"/>
      <c r="CE95" s="44"/>
      <c r="CF95" s="44"/>
      <c r="CG95" s="44"/>
      <c r="CH95" s="44"/>
      <c r="CI95" s="44"/>
      <c r="CJ95" s="44"/>
      <c r="CK95" s="44"/>
      <c r="CL95" s="44"/>
      <c r="CM95" s="44"/>
      <c r="CN95" s="44"/>
      <c r="CO95" s="44"/>
      <c r="CP95" s="44"/>
      <c r="CQ95" s="75"/>
      <c r="CR95" s="75"/>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row>
    <row r="96" spans="1:238">
      <c r="A96" s="44"/>
      <c r="B96" s="44"/>
      <c r="C96" s="44"/>
      <c r="D96" s="899"/>
      <c r="E96" s="44"/>
      <c r="F96" s="44"/>
      <c r="G96" s="44"/>
      <c r="H96" s="75"/>
      <c r="I96" s="75"/>
      <c r="J96" s="75"/>
      <c r="K96" s="75"/>
      <c r="L96" s="75"/>
      <c r="M96" s="75"/>
      <c r="N96" s="75"/>
      <c r="O96" s="75"/>
      <c r="P96" s="75"/>
      <c r="Q96" s="75"/>
      <c r="R96" s="75"/>
      <c r="S96" s="75"/>
      <c r="T96" s="75"/>
      <c r="U96" s="75"/>
      <c r="V96" s="75"/>
      <c r="W96" s="44"/>
      <c r="X96" s="75"/>
      <c r="Y96" s="75"/>
      <c r="Z96" s="75"/>
      <c r="AA96" s="75"/>
      <c r="AB96" s="75"/>
      <c r="AC96" s="75"/>
      <c r="AD96" s="75"/>
      <c r="AE96" s="75"/>
      <c r="AF96" s="1289"/>
      <c r="AG96" s="105"/>
      <c r="AH96" s="1142"/>
      <c r="AI96" s="75"/>
      <c r="AJ96" s="1003"/>
      <c r="AK96" s="75"/>
      <c r="AL96" s="75"/>
      <c r="AM96" s="75"/>
      <c r="AN96" s="75"/>
      <c r="AO96" s="75"/>
      <c r="AQ96" s="75"/>
      <c r="AR96" s="75"/>
      <c r="AS96" s="75"/>
      <c r="AT96" s="75"/>
      <c r="AU96" s="75"/>
      <c r="AV96" s="75"/>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75"/>
      <c r="BY96" s="75"/>
      <c r="BZ96" s="75"/>
      <c r="CA96" s="44"/>
      <c r="CB96" s="44"/>
      <c r="CC96" s="44"/>
      <c r="CD96" s="44"/>
      <c r="CE96" s="44"/>
      <c r="CF96" s="44"/>
      <c r="CG96" s="44"/>
      <c r="CH96" s="44"/>
      <c r="CI96" s="44"/>
      <c r="CJ96" s="44"/>
      <c r="CK96" s="44"/>
      <c r="CL96" s="44"/>
      <c r="CM96" s="44"/>
      <c r="CN96" s="44"/>
      <c r="CO96" s="44"/>
      <c r="CP96" s="44"/>
      <c r="CQ96" s="75"/>
      <c r="CR96" s="75"/>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row>
    <row r="97" spans="1:238">
      <c r="A97" s="44"/>
      <c r="B97" s="44"/>
      <c r="C97" s="44"/>
      <c r="D97" s="899"/>
      <c r="E97" s="44"/>
      <c r="F97" s="44"/>
      <c r="G97" s="44"/>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Q97" s="75"/>
      <c r="AR97" s="75"/>
      <c r="AS97" s="75"/>
      <c r="AT97" s="75"/>
      <c r="AU97" s="75"/>
      <c r="AV97" s="75"/>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75"/>
      <c r="BY97" s="75"/>
      <c r="BZ97" s="75"/>
      <c r="CA97" s="44"/>
      <c r="CB97" s="44"/>
      <c r="CC97" s="44"/>
      <c r="CD97" s="44"/>
      <c r="CE97" s="44"/>
      <c r="CF97" s="44"/>
      <c r="CG97" s="44"/>
      <c r="CH97" s="44"/>
      <c r="CI97" s="44"/>
      <c r="CJ97" s="44"/>
      <c r="CK97" s="44"/>
      <c r="CL97" s="44"/>
      <c r="CM97" s="44"/>
      <c r="CN97" s="44"/>
      <c r="CO97" s="44"/>
      <c r="CP97" s="44"/>
      <c r="CQ97" s="75"/>
      <c r="CR97" s="75"/>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row>
    <row r="98" spans="1:238">
      <c r="A98" s="44"/>
      <c r="B98" s="44"/>
      <c r="C98" s="44"/>
      <c r="D98" s="899"/>
      <c r="E98" s="44"/>
      <c r="F98" s="44"/>
      <c r="G98" s="44"/>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Q98" s="75"/>
      <c r="AR98" s="75"/>
      <c r="AS98" s="75"/>
      <c r="AT98" s="75"/>
      <c r="AU98" s="75"/>
      <c r="AV98" s="75"/>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75"/>
      <c r="BY98" s="75"/>
      <c r="BZ98" s="75"/>
      <c r="CA98" s="44"/>
      <c r="CB98" s="44"/>
      <c r="CC98" s="44"/>
      <c r="CD98" s="44"/>
      <c r="CE98" s="44"/>
      <c r="CF98" s="44"/>
      <c r="CG98" s="44"/>
      <c r="CH98" s="44"/>
      <c r="CI98" s="44"/>
      <c r="CJ98" s="44"/>
      <c r="CK98" s="44"/>
      <c r="CL98" s="44"/>
      <c r="CM98" s="44"/>
      <c r="CN98" s="44"/>
      <c r="CO98" s="44"/>
      <c r="CP98" s="44"/>
      <c r="CQ98" s="75"/>
      <c r="CR98" s="75"/>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row>
    <row r="99" spans="1:238">
      <c r="A99" s="44"/>
      <c r="B99" s="44"/>
      <c r="C99" s="44"/>
      <c r="D99" s="899"/>
      <c r="E99" s="44"/>
      <c r="F99" s="44"/>
      <c r="G99" s="44"/>
      <c r="H99" s="75"/>
      <c r="I99" s="75"/>
      <c r="J99" s="75"/>
      <c r="K99" s="75"/>
      <c r="L99" s="75"/>
      <c r="M99" s="75"/>
      <c r="N99" s="75"/>
      <c r="O99" s="75"/>
      <c r="P99" s="75"/>
      <c r="Q99" s="75"/>
      <c r="R99" s="75"/>
      <c r="S99" s="75"/>
      <c r="T99" s="75"/>
      <c r="U99" s="75"/>
      <c r="V99" s="75"/>
      <c r="W99" s="44"/>
      <c r="X99" s="75"/>
      <c r="Y99" s="75"/>
      <c r="Z99" s="75"/>
      <c r="AA99" s="75"/>
      <c r="AB99" s="75"/>
      <c r="AC99" s="75"/>
      <c r="AD99" s="75"/>
      <c r="AE99" s="75"/>
      <c r="AF99" s="75"/>
      <c r="AG99" s="75"/>
      <c r="AH99" s="75"/>
      <c r="AI99" s="75"/>
      <c r="AJ99" s="75"/>
      <c r="AK99" s="75"/>
      <c r="AL99" s="75"/>
      <c r="AM99" s="75"/>
      <c r="AN99" s="75"/>
      <c r="AO99" s="75"/>
      <c r="AQ99" s="44"/>
      <c r="AR99" s="75"/>
      <c r="AS99" s="75"/>
      <c r="AT99" s="75"/>
      <c r="AU99" s="75"/>
      <c r="AV99" s="75"/>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75"/>
      <c r="BY99" s="75"/>
      <c r="BZ99" s="75"/>
      <c r="CA99" s="44"/>
    </row>
    <row r="100" spans="1:238">
      <c r="A100" s="44"/>
      <c r="B100" s="44"/>
      <c r="C100" s="44"/>
      <c r="D100" s="899"/>
      <c r="E100" s="44"/>
      <c r="F100" s="44"/>
      <c r="G100" s="44"/>
      <c r="H100" s="75"/>
      <c r="I100" s="75"/>
      <c r="J100" s="75"/>
      <c r="K100" s="75"/>
      <c r="L100" s="75"/>
      <c r="M100" s="75"/>
      <c r="N100" s="75"/>
      <c r="O100" s="75"/>
      <c r="P100" s="75"/>
      <c r="Q100" s="75"/>
      <c r="R100" s="75"/>
      <c r="S100" s="75"/>
      <c r="T100" s="75"/>
      <c r="U100" s="75"/>
      <c r="V100" s="75"/>
      <c r="W100" s="44"/>
      <c r="X100" s="75"/>
      <c r="Y100" s="75"/>
      <c r="Z100" s="75"/>
      <c r="AA100" s="75"/>
      <c r="AB100" s="75"/>
      <c r="AC100" s="75"/>
      <c r="AD100" s="75"/>
      <c r="AE100" s="75"/>
      <c r="AF100" s="75"/>
      <c r="AG100" s="75"/>
      <c r="AH100" s="75"/>
      <c r="AI100" s="75"/>
      <c r="AJ100" s="75"/>
      <c r="AK100" s="75"/>
      <c r="AL100" s="75"/>
      <c r="AM100" s="75"/>
      <c r="AN100" s="75"/>
      <c r="AO100" s="75"/>
      <c r="AQ100" s="44"/>
      <c r="AR100" s="75"/>
      <c r="AS100" s="75"/>
      <c r="AT100" s="75"/>
      <c r="AU100" s="75"/>
      <c r="AV100" s="75"/>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75"/>
      <c r="BY100" s="75"/>
      <c r="BZ100" s="75"/>
      <c r="CA100" s="44"/>
    </row>
    <row r="101" spans="1:238">
      <c r="A101" s="44"/>
      <c r="B101" s="44"/>
      <c r="C101" s="44"/>
      <c r="D101" s="899"/>
      <c r="E101" s="44"/>
      <c r="F101" s="44"/>
      <c r="G101" s="44"/>
      <c r="H101" s="75"/>
      <c r="I101" s="75"/>
      <c r="J101" s="75"/>
      <c r="K101" s="75"/>
      <c r="L101" s="75"/>
      <c r="M101" s="75"/>
      <c r="N101" s="75"/>
      <c r="O101" s="75"/>
      <c r="P101" s="75"/>
      <c r="Q101" s="75"/>
      <c r="R101" s="75"/>
      <c r="S101" s="75"/>
      <c r="T101" s="75"/>
      <c r="U101" s="75"/>
      <c r="V101" s="75"/>
      <c r="W101" s="44"/>
      <c r="X101" s="75"/>
      <c r="Y101" s="75"/>
      <c r="Z101" s="75"/>
      <c r="AA101" s="75"/>
      <c r="AB101" s="75"/>
      <c r="AC101" s="75"/>
      <c r="AD101" s="75"/>
      <c r="AE101" s="75"/>
      <c r="AF101" s="75"/>
      <c r="AG101" s="75"/>
      <c r="AH101" s="75"/>
      <c r="AI101" s="75"/>
      <c r="AJ101" s="75"/>
      <c r="AK101" s="75"/>
      <c r="AL101" s="75"/>
      <c r="AM101" s="75"/>
      <c r="AN101" s="75"/>
      <c r="AO101" s="75"/>
      <c r="AQ101" s="44"/>
      <c r="AR101" s="75"/>
      <c r="AS101" s="75"/>
      <c r="AT101" s="75"/>
      <c r="AU101" s="75"/>
      <c r="AV101" s="75"/>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75"/>
      <c r="BY101" s="75"/>
      <c r="BZ101" s="75"/>
      <c r="CA101" s="44"/>
    </row>
    <row r="102" spans="1:238">
      <c r="A102" s="44"/>
      <c r="B102" s="44"/>
      <c r="C102" s="44"/>
      <c r="D102" s="899"/>
      <c r="E102" s="44"/>
      <c r="F102" s="44"/>
      <c r="G102" s="44"/>
      <c r="H102" s="75"/>
      <c r="I102" s="75"/>
      <c r="J102" s="75"/>
      <c r="K102" s="75"/>
      <c r="L102" s="75"/>
      <c r="M102" s="75"/>
      <c r="N102" s="75"/>
      <c r="O102" s="75"/>
      <c r="P102" s="75"/>
      <c r="Q102" s="75"/>
      <c r="R102" s="75"/>
      <c r="S102" s="75"/>
      <c r="T102" s="75"/>
      <c r="U102" s="75"/>
      <c r="V102" s="75"/>
      <c r="W102" s="44"/>
      <c r="X102" s="75"/>
      <c r="Y102" s="75"/>
      <c r="Z102" s="75"/>
      <c r="AA102" s="75"/>
      <c r="AB102" s="75"/>
      <c r="AC102" s="75"/>
      <c r="AD102" s="75"/>
      <c r="AE102" s="75"/>
      <c r="AF102" s="75"/>
      <c r="AG102" s="75"/>
      <c r="AH102" s="75"/>
      <c r="AI102" s="75"/>
      <c r="AJ102" s="75"/>
      <c r="AK102" s="75"/>
      <c r="AL102" s="75"/>
      <c r="AM102" s="75"/>
      <c r="AN102" s="75"/>
      <c r="AO102" s="75"/>
      <c r="AQ102" s="44"/>
      <c r="AR102" s="75"/>
      <c r="AS102" s="75"/>
      <c r="AT102" s="75"/>
      <c r="AU102" s="75"/>
      <c r="AV102" s="75"/>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75"/>
      <c r="BY102" s="75"/>
      <c r="BZ102" s="75"/>
      <c r="CA102" s="44"/>
    </row>
    <row r="103" spans="1:238">
      <c r="A103" s="44"/>
      <c r="B103" s="44"/>
      <c r="C103" s="44"/>
      <c r="D103" s="899"/>
      <c r="E103" s="44"/>
      <c r="F103" s="44"/>
      <c r="G103" s="44"/>
      <c r="H103" s="75"/>
      <c r="I103" s="75"/>
      <c r="J103" s="75"/>
      <c r="K103" s="75"/>
      <c r="L103" s="75"/>
      <c r="M103" s="75"/>
      <c r="N103" s="75"/>
      <c r="O103" s="75"/>
      <c r="P103" s="75"/>
      <c r="Q103" s="75"/>
      <c r="R103" s="75"/>
      <c r="S103" s="75"/>
      <c r="T103" s="75"/>
      <c r="U103" s="75"/>
      <c r="V103" s="75"/>
      <c r="W103" s="44"/>
      <c r="X103" s="75"/>
      <c r="Y103" s="75"/>
      <c r="Z103" s="75"/>
      <c r="AA103" s="75"/>
      <c r="AB103" s="75"/>
      <c r="AC103" s="75"/>
      <c r="AD103" s="75"/>
      <c r="AE103" s="75"/>
      <c r="AF103" s="75"/>
      <c r="AG103" s="75"/>
      <c r="AH103" s="75"/>
      <c r="AI103" s="75"/>
      <c r="AJ103" s="75"/>
      <c r="AK103" s="75"/>
      <c r="AL103" s="75"/>
      <c r="AM103" s="75"/>
      <c r="AN103" s="75"/>
      <c r="AO103" s="75"/>
      <c r="AQ103" s="44"/>
      <c r="AR103" s="75"/>
      <c r="AS103" s="75"/>
      <c r="AT103" s="75"/>
      <c r="AU103" s="75"/>
      <c r="AV103" s="75"/>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75"/>
      <c r="BY103" s="75"/>
      <c r="BZ103" s="75"/>
      <c r="CA103" s="44"/>
    </row>
    <row r="104" spans="1:238">
      <c r="A104" s="44"/>
      <c r="B104" s="44"/>
      <c r="C104" s="44"/>
      <c r="D104" s="899"/>
      <c r="E104" s="44"/>
      <c r="F104" s="44"/>
      <c r="G104" s="44"/>
      <c r="H104" s="75"/>
      <c r="I104" s="75"/>
      <c r="J104" s="75"/>
      <c r="K104" s="75"/>
      <c r="L104" s="75"/>
      <c r="M104" s="75"/>
      <c r="N104" s="75"/>
      <c r="O104" s="75"/>
      <c r="P104" s="75"/>
      <c r="Q104" s="75"/>
      <c r="R104" s="75"/>
      <c r="S104" s="75"/>
      <c r="T104" s="75"/>
      <c r="U104" s="75"/>
      <c r="V104" s="75"/>
      <c r="W104" s="44"/>
      <c r="X104" s="75"/>
      <c r="Y104" s="75"/>
      <c r="Z104" s="75"/>
      <c r="AA104" s="75"/>
      <c r="AB104" s="75"/>
      <c r="AC104" s="75"/>
      <c r="AD104" s="75"/>
      <c r="AE104" s="75"/>
      <c r="AF104" s="75"/>
      <c r="AG104" s="75"/>
      <c r="AH104" s="75"/>
      <c r="AI104" s="75"/>
      <c r="AJ104" s="75"/>
      <c r="AK104" s="75"/>
      <c r="AL104" s="75"/>
      <c r="AM104" s="75"/>
      <c r="AN104" s="75"/>
      <c r="AO104" s="75"/>
      <c r="AQ104" s="44"/>
      <c r="AR104" s="75"/>
      <c r="AS104" s="75"/>
      <c r="AT104" s="75"/>
      <c r="AU104" s="75"/>
      <c r="AV104" s="75"/>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75"/>
      <c r="BY104" s="75"/>
      <c r="BZ104" s="75"/>
      <c r="CA104" s="44"/>
    </row>
    <row r="105" spans="1:238">
      <c r="A105" s="44"/>
      <c r="B105" s="44"/>
      <c r="C105" s="44"/>
      <c r="D105" s="899"/>
      <c r="E105" s="44"/>
      <c r="F105" s="44"/>
      <c r="G105" s="44"/>
      <c r="H105" s="75"/>
      <c r="I105" s="75"/>
      <c r="J105" s="75"/>
      <c r="K105" s="75"/>
      <c r="L105" s="75"/>
      <c r="M105" s="75"/>
      <c r="N105" s="75"/>
      <c r="O105" s="75"/>
      <c r="P105" s="75"/>
      <c r="Q105" s="75"/>
      <c r="R105" s="75"/>
      <c r="S105" s="75"/>
      <c r="T105" s="75"/>
      <c r="U105" s="75"/>
      <c r="V105" s="75"/>
      <c r="W105" s="44"/>
      <c r="X105" s="75"/>
      <c r="Y105" s="75"/>
      <c r="Z105" s="75"/>
      <c r="AA105" s="75"/>
      <c r="AB105" s="75"/>
      <c r="AC105" s="75"/>
      <c r="AD105" s="75"/>
      <c r="AE105" s="75"/>
      <c r="AF105" s="75"/>
      <c r="AG105" s="75"/>
      <c r="AH105" s="75"/>
      <c r="AI105" s="75"/>
      <c r="AJ105" s="75"/>
      <c r="AK105" s="75"/>
      <c r="AL105" s="75"/>
      <c r="AM105" s="75"/>
      <c r="AN105" s="75"/>
      <c r="AO105" s="75"/>
      <c r="AQ105" s="44"/>
      <c r="AR105" s="75"/>
      <c r="AS105" s="75"/>
      <c r="AT105" s="75"/>
      <c r="AU105" s="75"/>
      <c r="AV105" s="75"/>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75"/>
      <c r="BY105" s="75"/>
      <c r="BZ105" s="75"/>
      <c r="CA105" s="44"/>
    </row>
    <row r="106" spans="1:238">
      <c r="A106" s="44"/>
      <c r="B106" s="44"/>
      <c r="C106" s="44"/>
      <c r="D106" s="899"/>
      <c r="E106" s="44"/>
      <c r="F106" s="44"/>
      <c r="G106" s="44"/>
      <c r="H106" s="75"/>
      <c r="I106" s="75"/>
      <c r="J106" s="75"/>
      <c r="K106" s="75"/>
      <c r="L106" s="75"/>
      <c r="M106" s="75"/>
      <c r="N106" s="75"/>
      <c r="O106" s="75"/>
      <c r="P106" s="75"/>
      <c r="Q106" s="75"/>
      <c r="R106" s="75"/>
      <c r="S106" s="75"/>
      <c r="T106" s="75"/>
      <c r="U106" s="75"/>
      <c r="V106" s="75"/>
      <c r="W106" s="44"/>
      <c r="X106" s="75"/>
      <c r="Y106" s="75"/>
      <c r="Z106" s="75"/>
      <c r="AA106" s="75"/>
      <c r="AB106" s="75"/>
      <c r="AC106" s="75"/>
      <c r="AD106" s="75"/>
      <c r="AE106" s="75"/>
      <c r="AF106" s="75"/>
      <c r="AG106" s="75"/>
      <c r="AH106" s="75"/>
      <c r="AI106" s="75"/>
      <c r="AJ106" s="75"/>
      <c r="AK106" s="75"/>
      <c r="AL106" s="75"/>
      <c r="AM106" s="75"/>
      <c r="AN106" s="75"/>
      <c r="AO106" s="75"/>
      <c r="AQ106" s="44"/>
      <c r="AR106" s="75"/>
      <c r="AS106" s="75"/>
      <c r="AT106" s="75"/>
      <c r="AU106" s="75"/>
      <c r="AV106" s="75"/>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75"/>
      <c r="BY106" s="75"/>
      <c r="BZ106" s="75"/>
      <c r="CA106" s="44"/>
    </row>
    <row r="107" spans="1:238">
      <c r="A107" s="44"/>
      <c r="B107" s="44"/>
      <c r="C107" s="44"/>
      <c r="D107" s="899"/>
      <c r="E107" s="44"/>
      <c r="F107" s="44"/>
      <c r="G107" s="44"/>
      <c r="H107" s="75"/>
      <c r="I107" s="75"/>
      <c r="J107" s="75"/>
      <c r="K107" s="75"/>
      <c r="L107" s="75"/>
      <c r="M107" s="75"/>
      <c r="N107" s="75"/>
      <c r="O107" s="75"/>
      <c r="P107" s="75"/>
      <c r="Q107" s="75"/>
      <c r="R107" s="75"/>
      <c r="S107" s="75"/>
      <c r="T107" s="75"/>
      <c r="U107" s="75"/>
      <c r="V107" s="75"/>
      <c r="W107" s="44"/>
      <c r="X107" s="75"/>
      <c r="Y107" s="75"/>
      <c r="Z107" s="75"/>
      <c r="AA107" s="75"/>
      <c r="AB107" s="75"/>
      <c r="AC107" s="75"/>
      <c r="AD107" s="75"/>
      <c r="AE107" s="75"/>
      <c r="AF107" s="75"/>
      <c r="AG107" s="75"/>
      <c r="AH107" s="75"/>
      <c r="AI107" s="75"/>
      <c r="AJ107" s="75"/>
      <c r="AK107" s="75"/>
      <c r="AL107" s="75"/>
      <c r="AM107" s="75"/>
      <c r="AN107" s="75"/>
      <c r="AO107" s="75"/>
      <c r="AQ107" s="44"/>
      <c r="AR107" s="75"/>
      <c r="AS107" s="75"/>
      <c r="AT107" s="75"/>
      <c r="AU107" s="75"/>
      <c r="AV107" s="75"/>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75"/>
      <c r="BY107" s="75"/>
      <c r="BZ107" s="75"/>
      <c r="CA107" s="44"/>
    </row>
    <row r="108" spans="1:238">
      <c r="A108" s="44"/>
      <c r="B108" s="44"/>
      <c r="C108" s="44"/>
      <c r="D108" s="899"/>
      <c r="E108" s="44"/>
      <c r="F108" s="44"/>
      <c r="G108" s="44"/>
      <c r="H108" s="75"/>
      <c r="I108" s="75"/>
      <c r="J108" s="75"/>
      <c r="K108" s="75"/>
      <c r="L108" s="75"/>
      <c r="M108" s="75"/>
      <c r="N108" s="75"/>
      <c r="O108" s="75"/>
      <c r="P108" s="75"/>
      <c r="Q108" s="75"/>
      <c r="R108" s="75"/>
      <c r="S108" s="75"/>
      <c r="T108" s="75"/>
      <c r="U108" s="75"/>
      <c r="V108" s="75"/>
      <c r="W108" s="44"/>
      <c r="X108" s="75"/>
      <c r="Y108" s="75"/>
      <c r="Z108" s="75"/>
      <c r="AA108" s="75"/>
      <c r="AB108" s="75"/>
      <c r="AC108" s="75"/>
      <c r="AD108" s="75"/>
      <c r="AE108" s="75"/>
      <c r="AF108" s="75"/>
      <c r="AG108" s="75"/>
      <c r="AH108" s="75"/>
      <c r="AI108" s="75"/>
      <c r="AJ108" s="75"/>
      <c r="AK108" s="75"/>
      <c r="AL108" s="75"/>
      <c r="AM108" s="75"/>
      <c r="AN108" s="75"/>
      <c r="AO108" s="75"/>
      <c r="AQ108" s="44"/>
      <c r="AR108" s="75"/>
      <c r="AS108" s="75"/>
      <c r="AT108" s="75"/>
      <c r="AU108" s="75"/>
      <c r="AV108" s="75"/>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75"/>
      <c r="BY108" s="75"/>
      <c r="BZ108" s="75"/>
      <c r="CA108" s="44"/>
    </row>
    <row r="109" spans="1:238">
      <c r="A109" s="44"/>
      <c r="B109" s="44"/>
      <c r="C109" s="44"/>
      <c r="D109" s="899"/>
      <c r="E109" s="44"/>
      <c r="F109" s="44"/>
      <c r="G109" s="44"/>
      <c r="H109" s="75"/>
      <c r="I109" s="75"/>
      <c r="J109" s="75"/>
      <c r="K109" s="75"/>
      <c r="L109" s="75"/>
      <c r="M109" s="75"/>
      <c r="N109" s="75"/>
      <c r="O109" s="75"/>
      <c r="P109" s="75"/>
      <c r="Q109" s="75"/>
      <c r="R109" s="75"/>
      <c r="S109" s="75"/>
      <c r="T109" s="75"/>
      <c r="U109" s="75"/>
      <c r="V109" s="75"/>
      <c r="W109" s="44"/>
      <c r="X109" s="75"/>
      <c r="Y109" s="75"/>
      <c r="Z109" s="75"/>
      <c r="AA109" s="75"/>
      <c r="AB109" s="75"/>
      <c r="AC109" s="75"/>
      <c r="AD109" s="75"/>
      <c r="AE109" s="75"/>
      <c r="AF109" s="75"/>
      <c r="AG109" s="75"/>
      <c r="AH109" s="75"/>
      <c r="AI109" s="75"/>
      <c r="AJ109" s="75"/>
      <c r="AK109" s="75"/>
      <c r="AL109" s="75"/>
      <c r="AM109" s="75"/>
      <c r="AN109" s="75"/>
      <c r="AO109" s="75"/>
      <c r="AQ109" s="44"/>
      <c r="AR109" s="75"/>
      <c r="AS109" s="75"/>
      <c r="AT109" s="75"/>
      <c r="AU109" s="75"/>
      <c r="AV109" s="75"/>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75"/>
      <c r="BY109" s="75"/>
      <c r="BZ109" s="75"/>
      <c r="CA109" s="44"/>
    </row>
    <row r="110" spans="1:238">
      <c r="A110" s="44"/>
      <c r="B110" s="44"/>
      <c r="C110" s="44"/>
      <c r="D110" s="899"/>
      <c r="E110" s="44"/>
      <c r="F110" s="44"/>
      <c r="G110" s="44"/>
      <c r="H110" s="75"/>
      <c r="I110" s="75"/>
      <c r="J110" s="75"/>
      <c r="K110" s="75"/>
      <c r="L110" s="75"/>
      <c r="M110" s="75"/>
      <c r="N110" s="75"/>
      <c r="O110" s="75"/>
      <c r="P110" s="75"/>
      <c r="Q110" s="75"/>
      <c r="R110" s="75"/>
      <c r="S110" s="75"/>
      <c r="T110" s="75"/>
      <c r="U110" s="75"/>
      <c r="V110" s="75"/>
      <c r="W110" s="44"/>
      <c r="X110" s="75"/>
      <c r="Y110" s="75"/>
      <c r="Z110" s="75"/>
      <c r="AA110" s="75"/>
      <c r="AB110" s="75"/>
      <c r="AC110" s="75"/>
      <c r="AD110" s="75"/>
      <c r="AE110" s="75"/>
      <c r="AF110" s="75"/>
      <c r="AG110" s="75"/>
      <c r="AH110" s="75"/>
      <c r="AI110" s="75"/>
      <c r="AJ110" s="75"/>
      <c r="AK110" s="75"/>
      <c r="AL110" s="75"/>
      <c r="AM110" s="75"/>
      <c r="AN110" s="75"/>
      <c r="AO110" s="75"/>
      <c r="AQ110" s="44"/>
      <c r="AR110" s="75"/>
      <c r="AS110" s="75"/>
      <c r="AT110" s="75"/>
      <c r="AU110" s="75"/>
      <c r="AV110" s="75"/>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75"/>
      <c r="BY110" s="75"/>
      <c r="BZ110" s="75"/>
      <c r="CA110" s="44"/>
    </row>
    <row r="111" spans="1:238">
      <c r="A111" s="44"/>
      <c r="B111" s="44"/>
      <c r="C111" s="44"/>
      <c r="D111" s="899"/>
      <c r="E111" s="44"/>
      <c r="F111" s="44"/>
      <c r="G111" s="44"/>
      <c r="H111" s="75"/>
      <c r="I111" s="75"/>
      <c r="J111" s="75"/>
      <c r="K111" s="75"/>
      <c r="L111" s="75"/>
      <c r="M111" s="75"/>
      <c r="N111" s="75"/>
      <c r="O111" s="75"/>
      <c r="P111" s="75"/>
      <c r="Q111" s="75"/>
      <c r="R111" s="75"/>
      <c r="S111" s="75"/>
      <c r="T111" s="75"/>
      <c r="U111" s="75"/>
      <c r="V111" s="75"/>
      <c r="W111" s="44"/>
      <c r="X111" s="75"/>
      <c r="Y111" s="75"/>
      <c r="Z111" s="75"/>
      <c r="AA111" s="75"/>
      <c r="AB111" s="75"/>
      <c r="AC111" s="75"/>
      <c r="AD111" s="75"/>
      <c r="AE111" s="75"/>
      <c r="AF111" s="75"/>
      <c r="AG111" s="75"/>
      <c r="AH111" s="75"/>
      <c r="AI111" s="75"/>
      <c r="AJ111" s="75"/>
      <c r="AK111" s="75"/>
      <c r="AL111" s="75"/>
      <c r="AM111" s="75"/>
      <c r="AN111" s="75"/>
      <c r="AO111" s="75"/>
      <c r="AQ111" s="44"/>
      <c r="AR111" s="75"/>
      <c r="AS111" s="75"/>
      <c r="AT111" s="75"/>
      <c r="AU111" s="75"/>
      <c r="AV111" s="75"/>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75"/>
      <c r="BY111" s="75"/>
      <c r="BZ111" s="75"/>
      <c r="CA111" s="44"/>
    </row>
    <row r="112" spans="1:238">
      <c r="A112" s="44"/>
      <c r="B112" s="44"/>
      <c r="C112" s="44"/>
      <c r="D112" s="899"/>
      <c r="E112" s="44"/>
      <c r="F112" s="44"/>
      <c r="G112" s="44"/>
      <c r="H112" s="75"/>
      <c r="I112" s="75"/>
      <c r="J112" s="75"/>
      <c r="K112" s="75"/>
      <c r="L112" s="75"/>
      <c r="M112" s="75"/>
      <c r="N112" s="75"/>
      <c r="O112" s="75"/>
      <c r="P112" s="75"/>
      <c r="Q112" s="75"/>
      <c r="R112" s="75"/>
      <c r="S112" s="75"/>
      <c r="T112" s="75"/>
      <c r="U112" s="75"/>
      <c r="V112" s="75"/>
      <c r="W112" s="44"/>
      <c r="X112" s="75"/>
      <c r="Y112" s="75"/>
      <c r="Z112" s="75"/>
      <c r="AA112" s="75"/>
      <c r="AB112" s="75"/>
      <c r="AC112" s="75"/>
      <c r="AD112" s="75"/>
      <c r="AE112" s="75"/>
      <c r="AF112" s="75"/>
      <c r="AG112" s="75"/>
      <c r="AH112" s="75"/>
      <c r="AI112" s="75"/>
      <c r="AJ112" s="75"/>
      <c r="AK112" s="75"/>
      <c r="AL112" s="75"/>
      <c r="AM112" s="75"/>
      <c r="AN112" s="75"/>
      <c r="AO112" s="75"/>
      <c r="AQ112" s="44"/>
      <c r="AR112" s="75"/>
      <c r="AS112" s="75"/>
      <c r="AT112" s="75"/>
      <c r="AU112" s="75"/>
      <c r="AV112" s="75"/>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75"/>
      <c r="BY112" s="75"/>
      <c r="BZ112" s="75"/>
      <c r="CA112" s="44"/>
    </row>
    <row r="113" spans="1:79">
      <c r="A113" s="44"/>
      <c r="B113" s="44"/>
      <c r="C113" s="44"/>
      <c r="D113" s="899"/>
      <c r="E113" s="44"/>
      <c r="F113" s="44"/>
      <c r="G113" s="44"/>
      <c r="H113" s="75"/>
      <c r="I113" s="75"/>
      <c r="J113" s="75"/>
      <c r="K113" s="75"/>
      <c r="L113" s="75"/>
      <c r="M113" s="75"/>
      <c r="N113" s="75"/>
      <c r="O113" s="75"/>
      <c r="P113" s="75"/>
      <c r="Q113" s="75"/>
      <c r="R113" s="75"/>
      <c r="S113" s="75"/>
      <c r="T113" s="75"/>
      <c r="U113" s="75"/>
      <c r="V113" s="75"/>
      <c r="W113" s="44"/>
      <c r="X113" s="75"/>
      <c r="Y113" s="75"/>
      <c r="Z113" s="75"/>
      <c r="AA113" s="75"/>
      <c r="AB113" s="75"/>
      <c r="AC113" s="75"/>
      <c r="AD113" s="75"/>
      <c r="AE113" s="75"/>
      <c r="AF113" s="75"/>
      <c r="AG113" s="75"/>
      <c r="AH113" s="75"/>
      <c r="AI113" s="75"/>
      <c r="AJ113" s="75"/>
      <c r="AK113" s="75"/>
      <c r="AL113" s="75"/>
      <c r="AM113" s="75"/>
      <c r="AN113" s="75"/>
      <c r="AO113" s="75"/>
      <c r="AQ113" s="44"/>
      <c r="AR113" s="75"/>
      <c r="AS113" s="75"/>
      <c r="AT113" s="75"/>
      <c r="AU113" s="75"/>
      <c r="AV113" s="75"/>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75"/>
      <c r="BY113" s="75"/>
      <c r="BZ113" s="75"/>
      <c r="CA113" s="44"/>
    </row>
    <row r="114" spans="1:79">
      <c r="A114" s="44"/>
      <c r="B114" s="44"/>
      <c r="C114" s="44"/>
      <c r="D114" s="899"/>
      <c r="E114" s="44"/>
      <c r="F114" s="44"/>
      <c r="G114" s="44"/>
      <c r="H114" s="75"/>
      <c r="I114" s="75"/>
      <c r="J114" s="75"/>
      <c r="K114" s="75"/>
      <c r="L114" s="75"/>
      <c r="M114" s="75"/>
      <c r="N114" s="75"/>
      <c r="O114" s="75"/>
      <c r="P114" s="75"/>
      <c r="Q114" s="75"/>
      <c r="R114" s="75"/>
      <c r="S114" s="75"/>
      <c r="T114" s="75"/>
      <c r="U114" s="75"/>
      <c r="V114" s="75"/>
      <c r="W114" s="44"/>
      <c r="X114" s="75"/>
      <c r="Y114" s="75"/>
      <c r="Z114" s="75"/>
      <c r="AA114" s="75"/>
      <c r="AB114" s="75"/>
      <c r="AC114" s="75"/>
      <c r="AD114" s="75"/>
      <c r="AE114" s="75"/>
      <c r="AF114" s="75"/>
      <c r="AG114" s="75"/>
      <c r="AH114" s="75"/>
      <c r="AI114" s="75"/>
      <c r="AJ114" s="75"/>
      <c r="AK114" s="75"/>
      <c r="AL114" s="75"/>
      <c r="AM114" s="75"/>
      <c r="AN114" s="75"/>
      <c r="AO114" s="75"/>
      <c r="AQ114" s="44"/>
      <c r="AR114" s="75"/>
      <c r="AS114" s="75"/>
      <c r="AT114" s="75"/>
      <c r="AU114" s="75"/>
      <c r="AV114" s="75"/>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75"/>
      <c r="BY114" s="75"/>
      <c r="BZ114" s="75"/>
      <c r="CA114" s="44"/>
    </row>
    <row r="115" spans="1:79">
      <c r="A115" s="44"/>
      <c r="B115" s="44"/>
      <c r="C115" s="44"/>
      <c r="D115" s="899"/>
      <c r="E115" s="44"/>
      <c r="F115" s="44"/>
      <c r="G115" s="44"/>
      <c r="H115" s="75"/>
      <c r="I115" s="75"/>
      <c r="J115" s="75"/>
      <c r="K115" s="75"/>
      <c r="L115" s="75"/>
      <c r="M115" s="75"/>
      <c r="N115" s="75"/>
      <c r="O115" s="75"/>
      <c r="P115" s="75"/>
      <c r="Q115" s="75"/>
      <c r="R115" s="75"/>
      <c r="S115" s="75"/>
      <c r="T115" s="75"/>
      <c r="U115" s="75"/>
      <c r="V115" s="75"/>
      <c r="W115" s="44"/>
      <c r="X115" s="75"/>
      <c r="Y115" s="75"/>
      <c r="Z115" s="75"/>
      <c r="AA115" s="75"/>
      <c r="AB115" s="75"/>
      <c r="AC115" s="75"/>
      <c r="AD115" s="75"/>
      <c r="AE115" s="75"/>
      <c r="AF115" s="75"/>
      <c r="AG115" s="75"/>
      <c r="AH115" s="75"/>
      <c r="AI115" s="75"/>
      <c r="AJ115" s="75"/>
      <c r="AK115" s="75"/>
      <c r="AL115" s="75"/>
      <c r="AM115" s="75"/>
      <c r="AN115" s="75"/>
      <c r="AO115" s="75"/>
      <c r="AQ115" s="44"/>
      <c r="AR115" s="75"/>
      <c r="AS115" s="75"/>
      <c r="AT115" s="75"/>
      <c r="AU115" s="75"/>
      <c r="AV115" s="75"/>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75"/>
      <c r="BY115" s="75"/>
      <c r="BZ115" s="75"/>
      <c r="CA115" s="44"/>
    </row>
    <row r="116" spans="1:79">
      <c r="A116" s="44"/>
      <c r="B116" s="44"/>
      <c r="C116" s="44"/>
      <c r="D116" s="899"/>
      <c r="E116" s="44"/>
      <c r="F116" s="44"/>
      <c r="G116" s="44"/>
      <c r="H116" s="75"/>
      <c r="I116" s="75"/>
      <c r="J116" s="75"/>
      <c r="K116" s="75"/>
      <c r="L116" s="75"/>
      <c r="M116" s="75"/>
      <c r="N116" s="75"/>
      <c r="O116" s="75"/>
      <c r="P116" s="75"/>
      <c r="Q116" s="75"/>
      <c r="R116" s="75"/>
      <c r="S116" s="75"/>
      <c r="T116" s="75"/>
      <c r="U116" s="75"/>
      <c r="V116" s="75"/>
      <c r="W116" s="44"/>
      <c r="X116" s="75"/>
      <c r="Y116" s="75"/>
      <c r="Z116" s="75"/>
      <c r="AA116" s="75"/>
      <c r="AB116" s="75"/>
      <c r="AC116" s="75"/>
      <c r="AD116" s="75"/>
      <c r="AE116" s="75"/>
      <c r="AF116" s="75"/>
      <c r="AG116" s="75"/>
      <c r="AH116" s="75"/>
      <c r="AI116" s="75"/>
      <c r="AJ116" s="75"/>
      <c r="AK116" s="75"/>
      <c r="AL116" s="75"/>
      <c r="AM116" s="75"/>
      <c r="AN116" s="75"/>
      <c r="AO116" s="75"/>
      <c r="AQ116" s="44"/>
      <c r="AR116" s="75"/>
      <c r="AS116" s="75"/>
      <c r="AT116" s="75"/>
      <c r="AU116" s="75"/>
      <c r="AV116" s="75"/>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75"/>
      <c r="BY116" s="75"/>
      <c r="BZ116" s="75"/>
      <c r="CA116" s="44"/>
    </row>
    <row r="117" spans="1:79">
      <c r="A117" s="44"/>
      <c r="B117" s="44"/>
      <c r="C117" s="44"/>
      <c r="D117" s="899"/>
      <c r="E117" s="44"/>
      <c r="F117" s="44"/>
      <c r="G117" s="44"/>
      <c r="H117" s="75"/>
      <c r="I117" s="75"/>
      <c r="J117" s="75"/>
      <c r="K117" s="75"/>
      <c r="L117" s="75"/>
      <c r="M117" s="75"/>
      <c r="N117" s="75"/>
      <c r="O117" s="75"/>
      <c r="P117" s="75"/>
      <c r="Q117" s="75"/>
      <c r="R117" s="75"/>
      <c r="S117" s="75"/>
      <c r="T117" s="75"/>
      <c r="U117" s="75"/>
      <c r="V117" s="75"/>
      <c r="W117" s="44"/>
      <c r="X117" s="75"/>
      <c r="Y117" s="75"/>
      <c r="Z117" s="75"/>
      <c r="AA117" s="75"/>
      <c r="AB117" s="75"/>
      <c r="AC117" s="75"/>
      <c r="AD117" s="75"/>
      <c r="AE117" s="75"/>
      <c r="AF117" s="75"/>
      <c r="AG117" s="75"/>
      <c r="AH117" s="75"/>
      <c r="AI117" s="75"/>
      <c r="AJ117" s="75"/>
      <c r="AK117" s="75"/>
      <c r="AL117" s="75"/>
      <c r="AM117" s="75"/>
      <c r="AN117" s="75"/>
      <c r="AO117" s="75"/>
      <c r="AQ117" s="44"/>
      <c r="AR117" s="75"/>
      <c r="AS117" s="75"/>
      <c r="AT117" s="75"/>
      <c r="AU117" s="75"/>
      <c r="AV117" s="75"/>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75"/>
      <c r="BY117" s="75"/>
      <c r="BZ117" s="75"/>
      <c r="CA117" s="44"/>
    </row>
    <row r="118" spans="1:79">
      <c r="A118" s="44"/>
      <c r="B118" s="44"/>
      <c r="C118" s="44"/>
      <c r="D118" s="899"/>
      <c r="E118" s="44"/>
      <c r="F118" s="44"/>
      <c r="G118" s="44"/>
      <c r="H118" s="75"/>
      <c r="I118" s="75"/>
      <c r="J118" s="75"/>
      <c r="K118" s="75"/>
      <c r="L118" s="75"/>
      <c r="M118" s="75"/>
      <c r="N118" s="75"/>
      <c r="O118" s="75"/>
      <c r="P118" s="75"/>
      <c r="Q118" s="75"/>
      <c r="R118" s="75"/>
      <c r="S118" s="75"/>
      <c r="T118" s="75"/>
      <c r="U118" s="75"/>
      <c r="V118" s="75"/>
      <c r="W118" s="44"/>
      <c r="X118" s="75"/>
      <c r="Y118" s="75"/>
      <c r="Z118" s="75"/>
      <c r="AA118" s="75"/>
      <c r="AB118" s="75"/>
      <c r="AC118" s="75"/>
      <c r="AD118" s="75"/>
      <c r="AE118" s="75"/>
      <c r="AF118" s="75"/>
      <c r="AG118" s="75"/>
      <c r="AH118" s="75"/>
      <c r="AI118" s="75"/>
      <c r="AJ118" s="75"/>
      <c r="AK118" s="75"/>
      <c r="AL118" s="75"/>
      <c r="AM118" s="75"/>
      <c r="AN118" s="75"/>
      <c r="AO118" s="75"/>
      <c r="AQ118" s="44"/>
      <c r="AR118" s="75"/>
      <c r="AS118" s="75"/>
      <c r="AT118" s="75"/>
      <c r="AU118" s="75"/>
      <c r="AV118" s="75"/>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75"/>
      <c r="BY118" s="75"/>
      <c r="BZ118" s="75"/>
      <c r="CA118" s="44"/>
    </row>
    <row r="119" spans="1:79">
      <c r="A119" s="44"/>
      <c r="B119" s="44"/>
      <c r="C119" s="44"/>
      <c r="D119" s="899"/>
      <c r="E119" s="44"/>
      <c r="F119" s="44"/>
      <c r="G119" s="44"/>
      <c r="H119" s="75"/>
      <c r="I119" s="75"/>
      <c r="J119" s="75"/>
      <c r="K119" s="75"/>
      <c r="L119" s="75"/>
      <c r="M119" s="75"/>
      <c r="N119" s="75"/>
      <c r="O119" s="75"/>
      <c r="P119" s="75"/>
      <c r="Q119" s="75"/>
      <c r="R119" s="75"/>
      <c r="S119" s="75"/>
      <c r="T119" s="75"/>
      <c r="U119" s="75"/>
      <c r="V119" s="75"/>
      <c r="W119" s="44"/>
      <c r="X119" s="75"/>
      <c r="Y119" s="75"/>
      <c r="Z119" s="75"/>
      <c r="AA119" s="75"/>
      <c r="AB119" s="75"/>
      <c r="AC119" s="75"/>
      <c r="AD119" s="75"/>
      <c r="AE119" s="75"/>
      <c r="AF119" s="75"/>
      <c r="AG119" s="75"/>
      <c r="AH119" s="75"/>
      <c r="AI119" s="75"/>
      <c r="AJ119" s="75"/>
      <c r="AK119" s="75"/>
      <c r="AL119" s="75"/>
      <c r="AM119" s="75"/>
      <c r="AN119" s="75"/>
      <c r="AO119" s="75"/>
      <c r="AQ119" s="44"/>
      <c r="AR119" s="75"/>
      <c r="AS119" s="75"/>
      <c r="AT119" s="75"/>
      <c r="AU119" s="75"/>
      <c r="AV119" s="75"/>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75"/>
      <c r="BY119" s="75"/>
      <c r="BZ119" s="75"/>
      <c r="CA119" s="44"/>
    </row>
    <row r="120" spans="1:79">
      <c r="B120" s="44"/>
      <c r="C120" s="44"/>
      <c r="D120" s="899"/>
      <c r="E120" s="44"/>
      <c r="F120" s="44"/>
      <c r="G120" s="44"/>
      <c r="H120" s="75"/>
      <c r="I120" s="75"/>
      <c r="J120" s="75"/>
      <c r="K120" s="75"/>
      <c r="L120" s="75"/>
      <c r="M120" s="75"/>
      <c r="N120" s="75"/>
      <c r="O120" s="75"/>
      <c r="P120" s="75"/>
      <c r="Q120" s="75"/>
      <c r="R120" s="75"/>
      <c r="AF120" s="75"/>
      <c r="AG120" s="75"/>
      <c r="AH120" s="75"/>
      <c r="AI120" s="75"/>
      <c r="AJ120" s="1003"/>
      <c r="AK120" s="75"/>
      <c r="AL120" s="75"/>
      <c r="AM120" s="75"/>
      <c r="AN120" s="75"/>
      <c r="AO120" s="75"/>
      <c r="AQ120" s="44"/>
      <c r="AR120" s="75"/>
      <c r="AS120" s="75"/>
      <c r="AT120" s="75"/>
      <c r="AU120" s="75"/>
      <c r="AV120" s="75"/>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75"/>
      <c r="BY120" s="75"/>
      <c r="BZ120" s="75"/>
      <c r="CA120" s="44"/>
    </row>
  </sheetData>
  <sheetProtection algorithmName="SHA-512" hashValue="oOoQufePDLtqdfK1cqVzPM/rMD6FAjLCXYRz2udyQrwyG/aWQCf48hdPNzVFN1dUWgGEd3AwbfIZUEH7l+HvvA==" saltValue="5V4O2/c7BWWCNwuuM4UZYg==" spinCount="100000" sheet="1" objects="1" scenarios="1"/>
  <mergeCells count="369">
    <mergeCell ref="AD84:AD85"/>
    <mergeCell ref="Z73:Z74"/>
    <mergeCell ref="Z70:Z71"/>
    <mergeCell ref="Z67:Z68"/>
    <mergeCell ref="AB67:AB68"/>
    <mergeCell ref="AB70:AB71"/>
    <mergeCell ref="AB73:AB74"/>
    <mergeCell ref="AB76:AB77"/>
    <mergeCell ref="AD67:AD68"/>
    <mergeCell ref="AD70:AD71"/>
    <mergeCell ref="AD73:AD74"/>
    <mergeCell ref="AA73:AA74"/>
    <mergeCell ref="AC73:AC74"/>
    <mergeCell ref="AC84:AC85"/>
    <mergeCell ref="AA67:AA68"/>
    <mergeCell ref="AC67:AC68"/>
    <mergeCell ref="M61:M62"/>
    <mergeCell ref="M64:M65"/>
    <mergeCell ref="D52:D53"/>
    <mergeCell ref="M28:Q28"/>
    <mergeCell ref="J55:J56"/>
    <mergeCell ref="J58:J59"/>
    <mergeCell ref="C58:C59"/>
    <mergeCell ref="E3:F3"/>
    <mergeCell ref="AD79:AD80"/>
    <mergeCell ref="O58:O59"/>
    <mergeCell ref="O61:O62"/>
    <mergeCell ref="M49:M50"/>
    <mergeCell ref="M55:M56"/>
    <mergeCell ref="Y46:Y47"/>
    <mergeCell ref="AA40:AA41"/>
    <mergeCell ref="AB40:AB41"/>
    <mergeCell ref="AC40:AC41"/>
    <mergeCell ref="AD40:AD41"/>
    <mergeCell ref="D37:D38"/>
    <mergeCell ref="G37:G38"/>
    <mergeCell ref="AC3:AD3"/>
    <mergeCell ref="W19:Y19"/>
    <mergeCell ref="W15:AC15"/>
    <mergeCell ref="W46:W47"/>
    <mergeCell ref="E2:H2"/>
    <mergeCell ref="D49:D50"/>
    <mergeCell ref="D46:D47"/>
    <mergeCell ref="D43:D44"/>
    <mergeCell ref="B5:H5"/>
    <mergeCell ref="B58:B59"/>
    <mergeCell ref="B55:B56"/>
    <mergeCell ref="C55:C56"/>
    <mergeCell ref="O43:O44"/>
    <mergeCell ref="J46:J47"/>
    <mergeCell ref="J49:J50"/>
    <mergeCell ref="M58:M59"/>
    <mergeCell ref="M46:M47"/>
    <mergeCell ref="O18:O19"/>
    <mergeCell ref="B25:H25"/>
    <mergeCell ref="D55:D56"/>
    <mergeCell ref="D58:D59"/>
    <mergeCell ref="O40:O41"/>
    <mergeCell ref="N3:P3"/>
    <mergeCell ref="B49:B50"/>
    <mergeCell ref="C2:D2"/>
    <mergeCell ref="J20:M20"/>
    <mergeCell ref="K43:K44"/>
    <mergeCell ref="K49:K50"/>
    <mergeCell ref="X46:X47"/>
    <mergeCell ref="W16:AC16"/>
    <mergeCell ref="W17:AD17"/>
    <mergeCell ref="W43:W44"/>
    <mergeCell ref="Q64:Q65"/>
    <mergeCell ref="Q67:Q68"/>
    <mergeCell ref="W55:W56"/>
    <mergeCell ref="W67:W68"/>
    <mergeCell ref="AA58:AA59"/>
    <mergeCell ref="AB58:AB59"/>
    <mergeCell ref="W58:W59"/>
    <mergeCell ref="AD52:AD53"/>
    <mergeCell ref="X52:X53"/>
    <mergeCell ref="X58:X59"/>
    <mergeCell ref="Z58:Z59"/>
    <mergeCell ref="Y67:Y68"/>
    <mergeCell ref="AA64:AA65"/>
    <mergeCell ref="W52:W53"/>
    <mergeCell ref="X55:X56"/>
    <mergeCell ref="Y40:Y41"/>
    <mergeCell ref="Y43:Y44"/>
    <mergeCell ref="W62:W63"/>
    <mergeCell ref="E71:I71"/>
    <mergeCell ref="K69:K70"/>
    <mergeCell ref="B64:B65"/>
    <mergeCell ref="K61:K62"/>
    <mergeCell ref="K64:K65"/>
    <mergeCell ref="K67:K68"/>
    <mergeCell ref="B61:B62"/>
    <mergeCell ref="B67:B68"/>
    <mergeCell ref="C67:C68"/>
    <mergeCell ref="J67:J68"/>
    <mergeCell ref="D61:D62"/>
    <mergeCell ref="D64:D65"/>
    <mergeCell ref="D67:D68"/>
    <mergeCell ref="C71:C72"/>
    <mergeCell ref="J61:J62"/>
    <mergeCell ref="J64:J65"/>
    <mergeCell ref="E72:I72"/>
    <mergeCell ref="H64:I65"/>
    <mergeCell ref="M69:M70"/>
    <mergeCell ref="O64:O65"/>
    <mergeCell ref="K55:K56"/>
    <mergeCell ref="AN73:AO73"/>
    <mergeCell ref="AN75:AR75"/>
    <mergeCell ref="AQ73:AR73"/>
    <mergeCell ref="AN43:AN44"/>
    <mergeCell ref="AQ43:AQ44"/>
    <mergeCell ref="AK43:AK44"/>
    <mergeCell ref="AL43:AL44"/>
    <mergeCell ref="AO43:AO44"/>
    <mergeCell ref="AA43:AA44"/>
    <mergeCell ref="AB43:AB44"/>
    <mergeCell ref="AD43:AD44"/>
    <mergeCell ref="AC43:AC44"/>
    <mergeCell ref="AN72:AO72"/>
    <mergeCell ref="AD64:AD65"/>
    <mergeCell ref="AR52:AR53"/>
    <mergeCell ref="AQ64:AQ65"/>
    <mergeCell ref="AQ67:AQ68"/>
    <mergeCell ref="AK64:AK65"/>
    <mergeCell ref="AC58:AC59"/>
    <mergeCell ref="X67:X68"/>
    <mergeCell ref="AK73:AL73"/>
    <mergeCell ref="AP76:AP77"/>
    <mergeCell ref="AQ76:AQ77"/>
    <mergeCell ref="AR76:AR77"/>
    <mergeCell ref="Q40:Q41"/>
    <mergeCell ref="Q43:Q44"/>
    <mergeCell ref="Q46:Q47"/>
    <mergeCell ref="Q49:Q50"/>
    <mergeCell ref="AQ46:AQ47"/>
    <mergeCell ref="AK46:AK47"/>
    <mergeCell ref="AL46:AL47"/>
    <mergeCell ref="AO46:AO47"/>
    <mergeCell ref="AA46:AA47"/>
    <mergeCell ref="AB46:AB47"/>
    <mergeCell ref="AC46:AC47"/>
    <mergeCell ref="AD46:AD47"/>
    <mergeCell ref="W49:W50"/>
    <mergeCell ref="X49:X50"/>
    <mergeCell ref="AQ72:AR72"/>
    <mergeCell ref="AR43:AR44"/>
    <mergeCell ref="AL64:AL65"/>
    <mergeCell ref="AO64:AO65"/>
    <mergeCell ref="AL52:AL53"/>
    <mergeCell ref="AO52:AO53"/>
    <mergeCell ref="Q69:Q70"/>
    <mergeCell ref="BV11:BW11"/>
    <mergeCell ref="C9:G9"/>
    <mergeCell ref="C10:G10"/>
    <mergeCell ref="K35:M35"/>
    <mergeCell ref="O35:Q35"/>
    <mergeCell ref="E15:H15"/>
    <mergeCell ref="J37:J38"/>
    <mergeCell ref="M37:M38"/>
    <mergeCell ref="AR37:AR38"/>
    <mergeCell ref="C37:C38"/>
    <mergeCell ref="H37:I38"/>
    <mergeCell ref="E37:F38"/>
    <mergeCell ref="K37:K38"/>
    <mergeCell ref="AN37:AN38"/>
    <mergeCell ref="O37:O38"/>
    <mergeCell ref="AQ37:AQ38"/>
    <mergeCell ref="B13:H13"/>
    <mergeCell ref="Q37:Q38"/>
    <mergeCell ref="AL37:AL38"/>
    <mergeCell ref="AO37:AO38"/>
    <mergeCell ref="AK37:AK38"/>
    <mergeCell ref="AN35:AO35"/>
    <mergeCell ref="BN35:BT35"/>
    <mergeCell ref="AJ35:AM35"/>
    <mergeCell ref="CU46:CV46"/>
    <mergeCell ref="E46:F47"/>
    <mergeCell ref="E58:F59"/>
    <mergeCell ref="E61:F62"/>
    <mergeCell ref="CO46:CP46"/>
    <mergeCell ref="CR46:CS46"/>
    <mergeCell ref="H55:I56"/>
    <mergeCell ref="CO55:CP55"/>
    <mergeCell ref="CR55:CS55"/>
    <mergeCell ref="CU55:CV55"/>
    <mergeCell ref="H52:I53"/>
    <mergeCell ref="CO52:CP52"/>
    <mergeCell ref="CR52:CS52"/>
    <mergeCell ref="CU52:CV52"/>
    <mergeCell ref="H49:I50"/>
    <mergeCell ref="CU49:CV49"/>
    <mergeCell ref="H46:I47"/>
    <mergeCell ref="H58:I59"/>
    <mergeCell ref="E55:F56"/>
    <mergeCell ref="E52:F53"/>
    <mergeCell ref="E49:F50"/>
    <mergeCell ref="CO49:CP49"/>
    <mergeCell ref="H61:I62"/>
    <mergeCell ref="AN61:AN62"/>
    <mergeCell ref="CR49:CS49"/>
    <mergeCell ref="C6:G6"/>
    <mergeCell ref="E67:F68"/>
    <mergeCell ref="C46:C47"/>
    <mergeCell ref="H67:I68"/>
    <mergeCell ref="C7:G7"/>
    <mergeCell ref="C8:G8"/>
    <mergeCell ref="E64:F65"/>
    <mergeCell ref="C40:C41"/>
    <mergeCell ref="C43:C44"/>
    <mergeCell ref="C64:C65"/>
    <mergeCell ref="C61:C62"/>
    <mergeCell ref="E40:F41"/>
    <mergeCell ref="E43:F44"/>
    <mergeCell ref="AO58:AO59"/>
    <mergeCell ref="AR58:AR59"/>
    <mergeCell ref="O52:O53"/>
    <mergeCell ref="AQ52:AQ53"/>
    <mergeCell ref="AK52:AK53"/>
    <mergeCell ref="Q52:Q53"/>
    <mergeCell ref="Q55:Q56"/>
    <mergeCell ref="Q58:Q59"/>
    <mergeCell ref="Q61:Q62"/>
    <mergeCell ref="AJ33:AM33"/>
    <mergeCell ref="AU46:AU47"/>
    <mergeCell ref="AN46:AN47"/>
    <mergeCell ref="AR46:AR47"/>
    <mergeCell ref="AL55:AL56"/>
    <mergeCell ref="Z49:Z50"/>
    <mergeCell ref="AA49:AA50"/>
    <mergeCell ref="AB49:AB50"/>
    <mergeCell ref="AC49:AC50"/>
    <mergeCell ref="AU49:AU50"/>
    <mergeCell ref="AO49:AO50"/>
    <mergeCell ref="AQ49:AQ50"/>
    <mergeCell ref="AN49:AN50"/>
    <mergeCell ref="AC55:AC56"/>
    <mergeCell ref="AD55:AD56"/>
    <mergeCell ref="Z52:Z53"/>
    <mergeCell ref="AA52:AA53"/>
    <mergeCell ref="AB52:AB53"/>
    <mergeCell ref="AC52:AC53"/>
    <mergeCell ref="AD49:AD50"/>
    <mergeCell ref="Z55:Z56"/>
    <mergeCell ref="AA55:AA56"/>
    <mergeCell ref="AB55:AB56"/>
    <mergeCell ref="AU64:AU65"/>
    <mergeCell ref="AU52:AU53"/>
    <mergeCell ref="AU55:AU56"/>
    <mergeCell ref="AU58:AU59"/>
    <mergeCell ref="AU61:AU62"/>
    <mergeCell ref="AK58:AK59"/>
    <mergeCell ref="AR64:AR65"/>
    <mergeCell ref="Y64:Y65"/>
    <mergeCell ref="AC64:AC65"/>
    <mergeCell ref="AB64:AB65"/>
    <mergeCell ref="AD58:AD59"/>
    <mergeCell ref="Z64:Z65"/>
    <mergeCell ref="AQ55:AQ56"/>
    <mergeCell ref="AK55:AK56"/>
    <mergeCell ref="AC86:AC87"/>
    <mergeCell ref="W76:W77"/>
    <mergeCell ref="X76:X77"/>
    <mergeCell ref="Z76:Z77"/>
    <mergeCell ref="AA76:AA77"/>
    <mergeCell ref="AC76:AC77"/>
    <mergeCell ref="W79:W80"/>
    <mergeCell ref="X79:X80"/>
    <mergeCell ref="Z79:Z80"/>
    <mergeCell ref="AA79:AA80"/>
    <mergeCell ref="AC79:AC80"/>
    <mergeCell ref="AB79:AB80"/>
    <mergeCell ref="W73:W74"/>
    <mergeCell ref="AB84:AB85"/>
    <mergeCell ref="X81:X82"/>
    <mergeCell ref="W89:AB89"/>
    <mergeCell ref="W92:W93"/>
    <mergeCell ref="X92:X93"/>
    <mergeCell ref="Z92:Z93"/>
    <mergeCell ref="AA92:AA93"/>
    <mergeCell ref="AC92:AC93"/>
    <mergeCell ref="AA81:AA82"/>
    <mergeCell ref="AC81:AC82"/>
    <mergeCell ref="W84:W85"/>
    <mergeCell ref="X84:X85"/>
    <mergeCell ref="Z84:Z85"/>
    <mergeCell ref="AA84:AA85"/>
    <mergeCell ref="X73:X74"/>
    <mergeCell ref="Y84:Y85"/>
    <mergeCell ref="Y86:Y87"/>
    <mergeCell ref="Y81:Y82"/>
    <mergeCell ref="Y79:Y80"/>
    <mergeCell ref="Y76:Y77"/>
    <mergeCell ref="Y73:Y74"/>
    <mergeCell ref="X86:X87"/>
    <mergeCell ref="AA86:AA87"/>
    <mergeCell ref="AK72:AL72"/>
    <mergeCell ref="AQ70:AR70"/>
    <mergeCell ref="AN70:AO70"/>
    <mergeCell ref="W70:W71"/>
    <mergeCell ref="X70:X71"/>
    <mergeCell ref="AA70:AA71"/>
    <mergeCell ref="AC70:AC71"/>
    <mergeCell ref="W64:W65"/>
    <mergeCell ref="X64:X65"/>
    <mergeCell ref="Y70:Y71"/>
    <mergeCell ref="AL67:AL68"/>
    <mergeCell ref="AO67:AO68"/>
    <mergeCell ref="AR67:AR68"/>
    <mergeCell ref="AN67:AN68"/>
    <mergeCell ref="AK67:AK68"/>
    <mergeCell ref="AN64:AN65"/>
    <mergeCell ref="AW35:BA35"/>
    <mergeCell ref="BC35:BL35"/>
    <mergeCell ref="BC37:BD37"/>
    <mergeCell ref="BE37:BF37"/>
    <mergeCell ref="BG37:BH37"/>
    <mergeCell ref="BI37:BJ37"/>
    <mergeCell ref="BK37:BL37"/>
    <mergeCell ref="AQ35:AR35"/>
    <mergeCell ref="BX35:CA35"/>
    <mergeCell ref="AU40:AU41"/>
    <mergeCell ref="AU43:AU44"/>
    <mergeCell ref="V33:AE34"/>
    <mergeCell ref="W36:Y36"/>
    <mergeCell ref="X40:X41"/>
    <mergeCell ref="X43:X44"/>
    <mergeCell ref="W40:W41"/>
    <mergeCell ref="AU67:AU68"/>
    <mergeCell ref="AO55:AO56"/>
    <mergeCell ref="AR55:AR56"/>
    <mergeCell ref="AN52:AN53"/>
    <mergeCell ref="AN55:AN56"/>
    <mergeCell ref="AN58:AN59"/>
    <mergeCell ref="AL49:AL50"/>
    <mergeCell ref="AK49:AK50"/>
    <mergeCell ref="AL58:AL59"/>
    <mergeCell ref="AQ58:AQ59"/>
    <mergeCell ref="AQ61:AQ62"/>
    <mergeCell ref="AU37:AU38"/>
    <mergeCell ref="AL61:AL62"/>
    <mergeCell ref="AO61:AO62"/>
    <mergeCell ref="AR61:AR62"/>
    <mergeCell ref="AR49:AR50"/>
    <mergeCell ref="AK61:AK62"/>
    <mergeCell ref="O69:O70"/>
    <mergeCell ref="B40:B41"/>
    <mergeCell ref="B43:B44"/>
    <mergeCell ref="C49:C50"/>
    <mergeCell ref="H40:I41"/>
    <mergeCell ref="M52:M53"/>
    <mergeCell ref="H43:I44"/>
    <mergeCell ref="K52:K53"/>
    <mergeCell ref="K46:K47"/>
    <mergeCell ref="K40:K41"/>
    <mergeCell ref="J52:J53"/>
    <mergeCell ref="J40:J41"/>
    <mergeCell ref="J43:J44"/>
    <mergeCell ref="B46:B47"/>
    <mergeCell ref="B52:B53"/>
    <mergeCell ref="C52:C53"/>
    <mergeCell ref="O67:O68"/>
    <mergeCell ref="O55:O56"/>
    <mergeCell ref="M67:M68"/>
    <mergeCell ref="M40:M41"/>
    <mergeCell ref="M43:M44"/>
    <mergeCell ref="O46:O47"/>
    <mergeCell ref="O49:O50"/>
    <mergeCell ref="K58:K59"/>
  </mergeCells>
  <phoneticPr fontId="41" type="noConversion"/>
  <conditionalFormatting sqref="AX40">
    <cfRule type="cellIs" dxfId="837" priority="3214" operator="equal">
      <formula>0</formula>
    </cfRule>
  </conditionalFormatting>
  <conditionalFormatting sqref="AX44 AO48:AP48 AL48:AM48 AO60:AP60 AL60:AM60 AO63:AP63 AL63:AM63 AO66:AP66 AL66:AM66 AO45:AP45 AL45:AM45 AO57:AP57 AL57:AM57 AO54:AP54 AL54:AM54 AO51:AP51 AL51:AM51">
    <cfRule type="cellIs" dxfId="836" priority="3213" operator="equal">
      <formula>0</formula>
    </cfRule>
  </conditionalFormatting>
  <conditionalFormatting sqref="AX41">
    <cfRule type="cellIs" dxfId="835" priority="3212" operator="equal">
      <formula>0</formula>
    </cfRule>
  </conditionalFormatting>
  <conditionalFormatting sqref="H17">
    <cfRule type="cellIs" dxfId="834" priority="3074" operator="greaterThan">
      <formula>0</formula>
    </cfRule>
  </conditionalFormatting>
  <conditionalFormatting sqref="BN44">
    <cfRule type="cellIs" dxfId="833" priority="5566" operator="equal">
      <formula>0</formula>
    </cfRule>
  </conditionalFormatting>
  <conditionalFormatting sqref="AX64">
    <cfRule type="cellIs" dxfId="832" priority="2167" operator="equal">
      <formula>0</formula>
    </cfRule>
  </conditionalFormatting>
  <conditionalFormatting sqref="BO44:BT44">
    <cfRule type="cellIs" dxfId="831" priority="2005" operator="equal">
      <formula>0</formula>
    </cfRule>
  </conditionalFormatting>
  <conditionalFormatting sqref="BV40">
    <cfRule type="cellIs" dxfId="830" priority="6192" operator="equal">
      <formula>0</formula>
    </cfRule>
  </conditionalFormatting>
  <conditionalFormatting sqref="BV41">
    <cfRule type="cellIs" dxfId="829" priority="1884" operator="equal">
      <formula>0</formula>
    </cfRule>
  </conditionalFormatting>
  <conditionalFormatting sqref="BV43">
    <cfRule type="cellIs" dxfId="828" priority="1882" operator="equal">
      <formula>0</formula>
    </cfRule>
  </conditionalFormatting>
  <conditionalFormatting sqref="BV44">
    <cfRule type="cellIs" dxfId="827" priority="1881" operator="equal">
      <formula>0</formula>
    </cfRule>
  </conditionalFormatting>
  <conditionalFormatting sqref="BV46">
    <cfRule type="cellIs" dxfId="826" priority="1888" operator="equal">
      <formula>0</formula>
    </cfRule>
  </conditionalFormatting>
  <conditionalFormatting sqref="BV47">
    <cfRule type="cellIs" dxfId="825" priority="1878" operator="equal">
      <formula>0</formula>
    </cfRule>
  </conditionalFormatting>
  <conditionalFormatting sqref="BV58">
    <cfRule type="cellIs" dxfId="824" priority="1876" operator="equal">
      <formula>0</formula>
    </cfRule>
  </conditionalFormatting>
  <conditionalFormatting sqref="BV59">
    <cfRule type="cellIs" dxfId="823" priority="1875" operator="equal">
      <formula>0</formula>
    </cfRule>
  </conditionalFormatting>
  <conditionalFormatting sqref="BV61">
    <cfRule type="cellIs" dxfId="822" priority="1873" operator="equal">
      <formula>0</formula>
    </cfRule>
  </conditionalFormatting>
  <conditionalFormatting sqref="BV62">
    <cfRule type="cellIs" dxfId="821" priority="1872" operator="equal">
      <formula>0</formula>
    </cfRule>
  </conditionalFormatting>
  <conditionalFormatting sqref="BV64">
    <cfRule type="cellIs" dxfId="820" priority="1870" operator="equal">
      <formula>0</formula>
    </cfRule>
  </conditionalFormatting>
  <conditionalFormatting sqref="BV65">
    <cfRule type="cellIs" dxfId="819" priority="1869" operator="equal">
      <formula>0</formula>
    </cfRule>
  </conditionalFormatting>
  <conditionalFormatting sqref="BV67">
    <cfRule type="cellIs" dxfId="818" priority="1867" operator="equal">
      <formula>0</formula>
    </cfRule>
  </conditionalFormatting>
  <conditionalFormatting sqref="BV68">
    <cfRule type="cellIs" dxfId="817" priority="1866" operator="equal">
      <formula>0</formula>
    </cfRule>
  </conditionalFormatting>
  <conditionalFormatting sqref="BV40:BV41 BV43:BV44 BV46:BV47 BV49:BV50 BV52:BV53 BV55:BV56 BV58:BV59 BV61:BV62 BV64:BV65 BV67:BV68">
    <cfRule type="expression" dxfId="816" priority="1468" stopIfTrue="1">
      <formula>$AC$90="NO"</formula>
    </cfRule>
  </conditionalFormatting>
  <conditionalFormatting sqref="M48 M60 M63 M66 M45 M57 M54 M51">
    <cfRule type="cellIs" dxfId="815" priority="7221" operator="equal">
      <formula>0</formula>
    </cfRule>
  </conditionalFormatting>
  <conditionalFormatting sqref="AX67">
    <cfRule type="cellIs" dxfId="814" priority="1534" operator="equal">
      <formula>0</formula>
    </cfRule>
  </conditionalFormatting>
  <conditionalFormatting sqref="AX61">
    <cfRule type="cellIs" dxfId="813" priority="1533" operator="equal">
      <formula>0</formula>
    </cfRule>
  </conditionalFormatting>
  <conditionalFormatting sqref="AX58">
    <cfRule type="cellIs" dxfId="812" priority="1532" operator="equal">
      <formula>0</formula>
    </cfRule>
  </conditionalFormatting>
  <conditionalFormatting sqref="AX55">
    <cfRule type="cellIs" dxfId="811" priority="1531" operator="equal">
      <formula>0</formula>
    </cfRule>
  </conditionalFormatting>
  <conditionalFormatting sqref="AX52">
    <cfRule type="cellIs" dxfId="810" priority="1530" operator="equal">
      <formula>0</formula>
    </cfRule>
  </conditionalFormatting>
  <conditionalFormatting sqref="AX49">
    <cfRule type="cellIs" dxfId="809" priority="1529" operator="equal">
      <formula>0</formula>
    </cfRule>
  </conditionalFormatting>
  <conditionalFormatting sqref="AX46">
    <cfRule type="cellIs" dxfId="808" priority="1528" operator="equal">
      <formula>0</formula>
    </cfRule>
  </conditionalFormatting>
  <conditionalFormatting sqref="AX43">
    <cfRule type="cellIs" dxfId="807" priority="1527" operator="equal">
      <formula>0</formula>
    </cfRule>
  </conditionalFormatting>
  <conditionalFormatting sqref="AX47">
    <cfRule type="cellIs" dxfId="806" priority="1526" operator="equal">
      <formula>0</formula>
    </cfRule>
  </conditionalFormatting>
  <conditionalFormatting sqref="AX50">
    <cfRule type="cellIs" dxfId="805" priority="1525" operator="equal">
      <formula>0</formula>
    </cfRule>
  </conditionalFormatting>
  <conditionalFormatting sqref="AX53">
    <cfRule type="cellIs" dxfId="804" priority="1524" operator="equal">
      <formula>0</formula>
    </cfRule>
  </conditionalFormatting>
  <conditionalFormatting sqref="AX56">
    <cfRule type="cellIs" dxfId="803" priority="1523" operator="equal">
      <formula>0</formula>
    </cfRule>
  </conditionalFormatting>
  <conditionalFormatting sqref="AX59">
    <cfRule type="cellIs" dxfId="802" priority="1522" operator="equal">
      <formula>0</formula>
    </cfRule>
  </conditionalFormatting>
  <conditionalFormatting sqref="AX62">
    <cfRule type="cellIs" dxfId="801" priority="1521" operator="equal">
      <formula>0</formula>
    </cfRule>
  </conditionalFormatting>
  <conditionalFormatting sqref="AX65">
    <cfRule type="cellIs" dxfId="800" priority="1520" operator="equal">
      <formula>0</formula>
    </cfRule>
  </conditionalFormatting>
  <conditionalFormatting sqref="AX68">
    <cfRule type="cellIs" dxfId="799" priority="1519" operator="equal">
      <formula>0</formula>
    </cfRule>
  </conditionalFormatting>
  <conditionalFormatting sqref="BV46">
    <cfRule type="cellIs" dxfId="798" priority="1879" operator="equal">
      <formula>0</formula>
    </cfRule>
  </conditionalFormatting>
  <conditionalFormatting sqref="BV47">
    <cfRule type="cellIs" dxfId="797" priority="1486" operator="equal">
      <formula>0</formula>
    </cfRule>
  </conditionalFormatting>
  <conditionalFormatting sqref="BV49">
    <cfRule type="cellIs" dxfId="796" priority="1484" operator="equal">
      <formula>0</formula>
    </cfRule>
  </conditionalFormatting>
  <conditionalFormatting sqref="BV50">
    <cfRule type="cellIs" dxfId="795" priority="1483" operator="equal">
      <formula>0</formula>
    </cfRule>
  </conditionalFormatting>
  <conditionalFormatting sqref="BV49:BV50">
    <cfRule type="expression" dxfId="794" priority="1485">
      <formula>$BT$9="NO"</formula>
    </cfRule>
  </conditionalFormatting>
  <conditionalFormatting sqref="BV52">
    <cfRule type="cellIs" dxfId="793" priority="1481" operator="equal">
      <formula>0</formula>
    </cfRule>
  </conditionalFormatting>
  <conditionalFormatting sqref="BV53">
    <cfRule type="cellIs" dxfId="792" priority="1480" operator="equal">
      <formula>0</formula>
    </cfRule>
  </conditionalFormatting>
  <conditionalFormatting sqref="BV52:BV53">
    <cfRule type="expression" dxfId="791" priority="1482">
      <formula>$BT$9="NO"</formula>
    </cfRule>
  </conditionalFormatting>
  <conditionalFormatting sqref="BV55">
    <cfRule type="cellIs" dxfId="790" priority="1478" operator="equal">
      <formula>0</formula>
    </cfRule>
  </conditionalFormatting>
  <conditionalFormatting sqref="BV56">
    <cfRule type="cellIs" dxfId="789" priority="1477" operator="equal">
      <formula>0</formula>
    </cfRule>
  </conditionalFormatting>
  <conditionalFormatting sqref="BV55:BV56">
    <cfRule type="expression" dxfId="788" priority="1479">
      <formula>$BT$9="NO"</formula>
    </cfRule>
  </conditionalFormatting>
  <conditionalFormatting sqref="BV58">
    <cfRule type="cellIs" dxfId="787" priority="1476" operator="equal">
      <formula>0</formula>
    </cfRule>
  </conditionalFormatting>
  <conditionalFormatting sqref="BV59">
    <cfRule type="cellIs" dxfId="786" priority="1475" operator="equal">
      <formula>0</formula>
    </cfRule>
  </conditionalFormatting>
  <conditionalFormatting sqref="BV61">
    <cfRule type="cellIs" dxfId="785" priority="1474" operator="equal">
      <formula>0</formula>
    </cfRule>
  </conditionalFormatting>
  <conditionalFormatting sqref="BV62">
    <cfRule type="cellIs" dxfId="784" priority="1473" operator="equal">
      <formula>0</formula>
    </cfRule>
  </conditionalFormatting>
  <conditionalFormatting sqref="BV64">
    <cfRule type="cellIs" dxfId="783" priority="1472" operator="equal">
      <formula>0</formula>
    </cfRule>
  </conditionalFormatting>
  <conditionalFormatting sqref="BV65">
    <cfRule type="cellIs" dxfId="782" priority="1471" operator="equal">
      <formula>0</formula>
    </cfRule>
  </conditionalFormatting>
  <conditionalFormatting sqref="BV67">
    <cfRule type="cellIs" dxfId="781" priority="1470" operator="equal">
      <formula>0</formula>
    </cfRule>
  </conditionalFormatting>
  <conditionalFormatting sqref="BV68">
    <cfRule type="cellIs" dxfId="780" priority="1469" operator="equal">
      <formula>0</formula>
    </cfRule>
  </conditionalFormatting>
  <conditionalFormatting sqref="BY44 CA44">
    <cfRule type="cellIs" dxfId="779" priority="1369" operator="equal">
      <formula>0</formula>
    </cfRule>
  </conditionalFormatting>
  <conditionalFormatting sqref="BX44">
    <cfRule type="cellIs" dxfId="778" priority="1366" operator="equal">
      <formula>0</formula>
    </cfRule>
  </conditionalFormatting>
  <conditionalFormatting sqref="CA47">
    <cfRule type="cellIs" dxfId="777" priority="1357" operator="equal">
      <formula>0</formula>
    </cfRule>
  </conditionalFormatting>
  <conditionalFormatting sqref="BX47">
    <cfRule type="cellIs" dxfId="776" priority="1355" operator="equal">
      <formula>0</formula>
    </cfRule>
  </conditionalFormatting>
  <conditionalFormatting sqref="BY50 CA50">
    <cfRule type="cellIs" dxfId="775" priority="1346" operator="equal">
      <formula>0</formula>
    </cfRule>
  </conditionalFormatting>
  <conditionalFormatting sqref="BX50">
    <cfRule type="cellIs" dxfId="774" priority="1344" operator="equal">
      <formula>0</formula>
    </cfRule>
  </conditionalFormatting>
  <conditionalFormatting sqref="BY53 CA53">
    <cfRule type="cellIs" dxfId="773" priority="1335" operator="equal">
      <formula>0</formula>
    </cfRule>
  </conditionalFormatting>
  <conditionalFormatting sqref="BX53">
    <cfRule type="cellIs" dxfId="772" priority="1333" operator="equal">
      <formula>0</formula>
    </cfRule>
  </conditionalFormatting>
  <conditionalFormatting sqref="BY56 CA56">
    <cfRule type="cellIs" dxfId="771" priority="1324" operator="equal">
      <formula>0</formula>
    </cfRule>
  </conditionalFormatting>
  <conditionalFormatting sqref="BX56">
    <cfRule type="cellIs" dxfId="770" priority="1322" operator="equal">
      <formula>0</formula>
    </cfRule>
  </conditionalFormatting>
  <conditionalFormatting sqref="BY59 CA59">
    <cfRule type="cellIs" dxfId="769" priority="1313" operator="equal">
      <formula>0</formula>
    </cfRule>
  </conditionalFormatting>
  <conditionalFormatting sqref="BX59">
    <cfRule type="cellIs" dxfId="768" priority="1311" operator="equal">
      <formula>0</formula>
    </cfRule>
  </conditionalFormatting>
  <conditionalFormatting sqref="BY62 CA62">
    <cfRule type="cellIs" dxfId="767" priority="1302" operator="equal">
      <formula>0</formula>
    </cfRule>
  </conditionalFormatting>
  <conditionalFormatting sqref="BX62">
    <cfRule type="cellIs" dxfId="766" priority="1300" operator="equal">
      <formula>0</formula>
    </cfRule>
  </conditionalFormatting>
  <conditionalFormatting sqref="BY65 CA65">
    <cfRule type="cellIs" dxfId="765" priority="1291" operator="equal">
      <formula>0</formula>
    </cfRule>
  </conditionalFormatting>
  <conditionalFormatting sqref="BX65">
    <cfRule type="cellIs" dxfId="764" priority="1289" operator="equal">
      <formula>0</formula>
    </cfRule>
  </conditionalFormatting>
  <conditionalFormatting sqref="BY68 CA68">
    <cfRule type="cellIs" dxfId="763" priority="1280" operator="equal">
      <formula>0</formula>
    </cfRule>
  </conditionalFormatting>
  <conditionalFormatting sqref="BX68">
    <cfRule type="cellIs" dxfId="762" priority="1278" operator="equal">
      <formula>0</formula>
    </cfRule>
  </conditionalFormatting>
  <conditionalFormatting sqref="BN40">
    <cfRule type="cellIs" dxfId="761" priority="1204" operator="equal">
      <formula>0</formula>
    </cfRule>
  </conditionalFormatting>
  <conditionalFormatting sqref="BO40:BT40">
    <cfRule type="cellIs" dxfId="760" priority="1203" operator="equal">
      <formula>0</formula>
    </cfRule>
  </conditionalFormatting>
  <conditionalFormatting sqref="BN41">
    <cfRule type="cellIs" dxfId="759" priority="1202" operator="equal">
      <formula>0</formula>
    </cfRule>
  </conditionalFormatting>
  <conditionalFormatting sqref="BO41:BT41">
    <cfRule type="cellIs" dxfId="758" priority="1201" operator="equal">
      <formula>0</formula>
    </cfRule>
  </conditionalFormatting>
  <conditionalFormatting sqref="BY47">
    <cfRule type="cellIs" dxfId="757" priority="1124" operator="equal">
      <formula>0</formula>
    </cfRule>
  </conditionalFormatting>
  <conditionalFormatting sqref="Q48:R48 Q60:R60 Q63:R63 Q66:R66 Q45 Q57:R57 Q54:R54 Q51:R51">
    <cfRule type="cellIs" dxfId="756" priority="1122" operator="equal">
      <formula>0</formula>
    </cfRule>
  </conditionalFormatting>
  <conditionalFormatting sqref="O40">
    <cfRule type="cellIs" dxfId="755" priority="13408" operator="greaterThan">
      <formula>0</formula>
    </cfRule>
  </conditionalFormatting>
  <conditionalFormatting sqref="K46">
    <cfRule type="expression" dxfId="754" priority="469">
      <formula>(OR($E$46="",$H$46=""))</formula>
    </cfRule>
    <cfRule type="cellIs" dxfId="753" priority="991" operator="greaterThan">
      <formula>0</formula>
    </cfRule>
  </conditionalFormatting>
  <conditionalFormatting sqref="K49">
    <cfRule type="expression" dxfId="752" priority="989">
      <formula>(OR($E$49="",$H$49=""))</formula>
    </cfRule>
    <cfRule type="cellIs" dxfId="751" priority="990" operator="greaterThan">
      <formula>0</formula>
    </cfRule>
  </conditionalFormatting>
  <conditionalFormatting sqref="O43">
    <cfRule type="cellIs" dxfId="750" priority="11072" operator="greaterThan">
      <formula>0</formula>
    </cfRule>
  </conditionalFormatting>
  <conditionalFormatting sqref="O46">
    <cfRule type="cellIs" dxfId="749" priority="11074" operator="greaterThan">
      <formula>0</formula>
    </cfRule>
  </conditionalFormatting>
  <conditionalFormatting sqref="O49">
    <cfRule type="cellIs" dxfId="748" priority="11076" operator="greaterThan">
      <formula>0</formula>
    </cfRule>
  </conditionalFormatting>
  <conditionalFormatting sqref="O52">
    <cfRule type="cellIs" dxfId="747" priority="11078" operator="greaterThan">
      <formula>0</formula>
    </cfRule>
  </conditionalFormatting>
  <conditionalFormatting sqref="O55">
    <cfRule type="cellIs" dxfId="746" priority="11080" operator="greaterThan">
      <formula>0</formula>
    </cfRule>
  </conditionalFormatting>
  <conditionalFormatting sqref="O58">
    <cfRule type="cellIs" dxfId="745" priority="11082" operator="greaterThan">
      <formula>0</formula>
    </cfRule>
  </conditionalFormatting>
  <conditionalFormatting sqref="O61">
    <cfRule type="cellIs" dxfId="744" priority="11084" operator="greaterThan">
      <formula>0</formula>
    </cfRule>
  </conditionalFormatting>
  <conditionalFormatting sqref="O64">
    <cfRule type="cellIs" dxfId="743" priority="11086" operator="greaterThan">
      <formula>0</formula>
    </cfRule>
  </conditionalFormatting>
  <conditionalFormatting sqref="O67">
    <cfRule type="cellIs" dxfId="742" priority="11088" operator="greaterThan">
      <formula>0</formula>
    </cfRule>
  </conditionalFormatting>
  <conditionalFormatting sqref="AL43 AN43:AO43 AN46:AO46 AN49:AO49 AN52:AO52 AN55:AO55 AN58:AO58 AO61 AN64:AO64 AN67:AO67 AQ43:AR43 AQ46:AR46 AQ49:AR49 AQ52:AR52 AQ55:AR55 AQ58:AR58 AQ61:AR61 AQ64:AR64 AQ67:AR67">
    <cfRule type="expression" dxfId="741" priority="730" stopIfTrue="1">
      <formula>$AN$33="NO"</formula>
    </cfRule>
  </conditionalFormatting>
  <conditionalFormatting sqref="BX43:BY43 BX46:BY46 BX49:BY49 BX52:BY52 BX55:BY55 BX58:BY58 BX61:BY61 BX64:BY64 BX67:BY67">
    <cfRule type="cellIs" dxfId="740" priority="12075" operator="equal">
      <formula>0</formula>
    </cfRule>
    <cfRule type="expression" dxfId="739" priority="12076">
      <formula>$AN$33="NO"</formula>
    </cfRule>
  </conditionalFormatting>
  <conditionalFormatting sqref="CA43 CA46 CA49 CA52 CA55 CA58 CA61 CA64 CA67">
    <cfRule type="expression" dxfId="738" priority="12120">
      <formula>$AN$33="NO"</formula>
    </cfRule>
    <cfRule type="cellIs" dxfId="737" priority="12121" operator="equal">
      <formula>0</formula>
    </cfRule>
  </conditionalFormatting>
  <conditionalFormatting sqref="BX44:BY44 BX50:BY50 BX53:BY53 BX56:BY56 BX59:BY59 BX62:BY62 BX65:BY65 BX68:BY68 BX47:BY47 CA47 CA68 CA65 CA62 CA59 CA56 CA53 CA50 CA44">
    <cfRule type="expression" dxfId="736" priority="12138" stopIfTrue="1">
      <formula>$AN$33="NO"</formula>
    </cfRule>
  </conditionalFormatting>
  <conditionalFormatting sqref="BX72:CA73">
    <cfRule type="expression" dxfId="735" priority="12147">
      <formula>$AN$33="NO"</formula>
    </cfRule>
  </conditionalFormatting>
  <conditionalFormatting sqref="BX35 BX40:CA41">
    <cfRule type="expression" dxfId="734" priority="12148">
      <formula>$AN$33="NO"</formula>
    </cfRule>
  </conditionalFormatting>
  <conditionalFormatting sqref="N3">
    <cfRule type="cellIs" dxfId="733" priority="893" operator="greaterThan">
      <formula>0</formula>
    </cfRule>
  </conditionalFormatting>
  <conditionalFormatting sqref="AA49">
    <cfRule type="cellIs" dxfId="732" priority="788" operator="equal">
      <formula>""</formula>
    </cfRule>
    <cfRule type="cellIs" dxfId="731" priority="792" operator="lessThanOrEqual">
      <formula>35*0.9</formula>
    </cfRule>
  </conditionalFormatting>
  <conditionalFormatting sqref="AA52">
    <cfRule type="cellIs" dxfId="730" priority="787" operator="equal">
      <formula>""</formula>
    </cfRule>
    <cfRule type="cellIs" dxfId="729" priority="791" operator="greaterThanOrEqual">
      <formula>38/0.9</formula>
    </cfRule>
  </conditionalFormatting>
  <conditionalFormatting sqref="AA55">
    <cfRule type="cellIs" dxfId="728" priority="786" operator="equal">
      <formula>""</formula>
    </cfRule>
    <cfRule type="cellIs" dxfId="727" priority="790" operator="greaterThanOrEqual">
      <formula>30/0.9</formula>
    </cfRule>
  </conditionalFormatting>
  <conditionalFormatting sqref="AA58">
    <cfRule type="cellIs" dxfId="726" priority="785" operator="equal">
      <formula>""</formula>
    </cfRule>
    <cfRule type="cellIs" dxfId="725" priority="789" operator="greaterThanOrEqual">
      <formula>6/0.9</formula>
    </cfRule>
  </conditionalFormatting>
  <conditionalFormatting sqref="AC49:AC50">
    <cfRule type="cellIs" dxfId="724" priority="13436" operator="lessThanOrEqual">
      <formula>0.9*35</formula>
    </cfRule>
  </conditionalFormatting>
  <conditionalFormatting sqref="AC52:AC53">
    <cfRule type="expression" dxfId="723" priority="798" stopIfTrue="1">
      <formula>$Q34="NO"</formula>
    </cfRule>
    <cfRule type="cellIs" dxfId="722" priority="13403" operator="greaterThanOrEqual">
      <formula>38/0.9</formula>
    </cfRule>
  </conditionalFormatting>
  <conditionalFormatting sqref="AC55:AC56">
    <cfRule type="cellIs" dxfId="721" priority="12407" operator="greaterThanOrEqual">
      <formula>30/0.9</formula>
    </cfRule>
  </conditionalFormatting>
  <conditionalFormatting sqref="AC58:AC59">
    <cfRule type="cellIs" dxfId="720" priority="805" operator="greaterThanOrEqual">
      <formula>6/0.9</formula>
    </cfRule>
  </conditionalFormatting>
  <conditionalFormatting sqref="W15:AC15">
    <cfRule type="expression" dxfId="719" priority="782">
      <formula>$H$7="Dry"</formula>
    </cfRule>
  </conditionalFormatting>
  <conditionalFormatting sqref="AA64">
    <cfRule type="cellIs" dxfId="718" priority="12370" stopIfTrue="1" operator="equal">
      <formula>""</formula>
    </cfRule>
    <cfRule type="cellIs" dxfId="717" priority="12371" operator="lessThan">
      <formula>$X$64*0.9</formula>
    </cfRule>
  </conditionalFormatting>
  <conditionalFormatting sqref="AA67">
    <cfRule type="cellIs" dxfId="716" priority="12374" operator="equal">
      <formula>""</formula>
    </cfRule>
    <cfRule type="cellIs" dxfId="715" priority="12375" operator="lessThan">
      <formula>0.9*$X$67</formula>
    </cfRule>
  </conditionalFormatting>
  <conditionalFormatting sqref="AA70">
    <cfRule type="cellIs" dxfId="714" priority="12378" operator="equal">
      <formula>""</formula>
    </cfRule>
    <cfRule type="cellIs" dxfId="713" priority="12379" operator="lessThan">
      <formula>0.9*$X$70</formula>
    </cfRule>
  </conditionalFormatting>
  <conditionalFormatting sqref="AA73">
    <cfRule type="cellIs" dxfId="712" priority="12382" operator="equal">
      <formula>""</formula>
    </cfRule>
    <cfRule type="cellIs" dxfId="711" priority="12383" operator="lessThan">
      <formula>0.9*$X$73</formula>
    </cfRule>
  </conditionalFormatting>
  <conditionalFormatting sqref="AA76">
    <cfRule type="cellIs" dxfId="710" priority="12384" operator="equal">
      <formula>""</formula>
    </cfRule>
    <cfRule type="cellIs" dxfId="709" priority="12385" operator="lessThan">
      <formula>0.9*$X$76</formula>
    </cfRule>
  </conditionalFormatting>
  <conditionalFormatting sqref="AA84">
    <cfRule type="cellIs" dxfId="708" priority="12480" operator="lessThan">
      <formula>0.9*$X$84</formula>
    </cfRule>
  </conditionalFormatting>
  <conditionalFormatting sqref="AC43">
    <cfRule type="cellIs" dxfId="707" priority="12394" stopIfTrue="1" operator="equal">
      <formula>""</formula>
    </cfRule>
    <cfRule type="expression" dxfId="706" priority="12396" stopIfTrue="1">
      <formula>$AD$43&lt;-(0.5*$AC$42)</formula>
    </cfRule>
    <cfRule type="expression" dxfId="705" priority="13455" stopIfTrue="1">
      <formula>$AD$43&gt;(0.5*$AC$42)</formula>
    </cfRule>
  </conditionalFormatting>
  <conditionalFormatting sqref="AA43">
    <cfRule type="cellIs" dxfId="704" priority="306" stopIfTrue="1" operator="equal">
      <formula>""</formula>
    </cfRule>
    <cfRule type="expression" dxfId="703" priority="12400" stopIfTrue="1">
      <formula>$AB$43&lt;-(0.5*$AA$42)</formula>
    </cfRule>
    <cfRule type="expression" dxfId="702" priority="12401" stopIfTrue="1">
      <formula>$AB$43&gt;(0.5*$AA$42)</formula>
    </cfRule>
  </conditionalFormatting>
  <conditionalFormatting sqref="AA46">
    <cfRule type="cellIs" dxfId="701" priority="12403" operator="equal">
      <formula>""</formula>
    </cfRule>
    <cfRule type="cellIs" dxfId="700" priority="12404" operator="greaterThan">
      <formula>30</formula>
    </cfRule>
    <cfRule type="cellIs" dxfId="699" priority="12405" operator="lessThan">
      <formula>0.9*$X$46</formula>
    </cfRule>
  </conditionalFormatting>
  <conditionalFormatting sqref="AC46:AC47">
    <cfRule type="expression" dxfId="698" priority="801" stopIfTrue="1">
      <formula>$Q$34="NO"</formula>
    </cfRule>
    <cfRule type="cellIs" dxfId="697" priority="13450" operator="lessThan">
      <formula>0.9*$X$46</formula>
    </cfRule>
  </conditionalFormatting>
  <conditionalFormatting sqref="Z92">
    <cfRule type="expression" dxfId="696" priority="12434" stopIfTrue="1">
      <formula>$AC$90="NO"</formula>
    </cfRule>
  </conditionalFormatting>
  <conditionalFormatting sqref="X91:Y91">
    <cfRule type="expression" dxfId="695" priority="12436">
      <formula>#REF!="NO"</formula>
    </cfRule>
  </conditionalFormatting>
  <conditionalFormatting sqref="AA79:AA80">
    <cfRule type="cellIs" dxfId="694" priority="12621" operator="lessThan">
      <formula>0.9*$X$79</formula>
    </cfRule>
  </conditionalFormatting>
  <conditionalFormatting sqref="AC40:AC41">
    <cfRule type="cellIs" dxfId="693" priority="12397" stopIfTrue="1" operator="equal">
      <formula>""</formula>
    </cfRule>
  </conditionalFormatting>
  <conditionalFormatting sqref="AC40:AC41">
    <cfRule type="expression" dxfId="692" priority="12992" stopIfTrue="1">
      <formula>$AD$40&gt;0.5</formula>
    </cfRule>
  </conditionalFormatting>
  <conditionalFormatting sqref="AC46:AC47">
    <cfRule type="cellIs" dxfId="691" priority="12408" stopIfTrue="1" operator="equal">
      <formula>""</formula>
    </cfRule>
  </conditionalFormatting>
  <conditionalFormatting sqref="AC46:AC47">
    <cfRule type="cellIs" dxfId="690" priority="12409" operator="greaterThan">
      <formula>30</formula>
    </cfRule>
  </conditionalFormatting>
  <conditionalFormatting sqref="AC49:AC50">
    <cfRule type="cellIs" dxfId="689" priority="796" stopIfTrue="1" operator="equal">
      <formula>""</formula>
    </cfRule>
  </conditionalFormatting>
  <conditionalFormatting sqref="AC52:AC53">
    <cfRule type="cellIs" dxfId="688" priority="799" stopIfTrue="1" operator="equal">
      <formula>""</formula>
    </cfRule>
  </conditionalFormatting>
  <conditionalFormatting sqref="AC55:AC56">
    <cfRule type="cellIs" dxfId="687" priority="802" operator="equal">
      <formula>""</formula>
    </cfRule>
  </conditionalFormatting>
  <conditionalFormatting sqref="AC58:AC59">
    <cfRule type="cellIs" dxfId="686" priority="804" operator="equal">
      <formula>""</formula>
    </cfRule>
  </conditionalFormatting>
  <conditionalFormatting sqref="AA86:AA87">
    <cfRule type="cellIs" dxfId="685" priority="12448" stopIfTrue="1" operator="equal">
      <formula>""</formula>
    </cfRule>
    <cfRule type="cellIs" dxfId="684" priority="12478" operator="notBetween">
      <formula>0.9*$X$84</formula>
      <formula>$X$86/0.9</formula>
    </cfRule>
  </conditionalFormatting>
  <conditionalFormatting sqref="AA92">
    <cfRule type="cellIs" dxfId="683" priority="13327" operator="greaterThanOrEqual">
      <formula>0</formula>
    </cfRule>
  </conditionalFormatting>
  <conditionalFormatting sqref="AC92">
    <cfRule type="cellIs" dxfId="682" priority="12463" operator="greaterThanOrEqual">
      <formula>0</formula>
    </cfRule>
  </conditionalFormatting>
  <conditionalFormatting sqref="W92:Y93">
    <cfRule type="expression" dxfId="681" priority="12464">
      <formula>$AC$90="NO"</formula>
    </cfRule>
  </conditionalFormatting>
  <conditionalFormatting sqref="AC92:AC93">
    <cfRule type="expression" dxfId="680" priority="12461" stopIfTrue="1">
      <formula>$AC$90="NO"</formula>
    </cfRule>
  </conditionalFormatting>
  <conditionalFormatting sqref="AK40">
    <cfRule type="expression" dxfId="679" priority="758">
      <formula>$AN$33="YES"</formula>
    </cfRule>
  </conditionalFormatting>
  <conditionalFormatting sqref="AK41">
    <cfRule type="expression" dxfId="678" priority="728">
      <formula>$AN$33="NO"</formula>
    </cfRule>
  </conditionalFormatting>
  <conditionalFormatting sqref="BX37">
    <cfRule type="expression" dxfId="677" priority="727" stopIfTrue="1">
      <formula>$AN$33="NO"</formula>
    </cfRule>
  </conditionalFormatting>
  <conditionalFormatting sqref="BX38">
    <cfRule type="expression" dxfId="676" priority="726" stopIfTrue="1">
      <formula>$AN$33="NO"</formula>
    </cfRule>
  </conditionalFormatting>
  <conditionalFormatting sqref="BY37">
    <cfRule type="expression" dxfId="675" priority="725" stopIfTrue="1">
      <formula>$AN$33="NO"</formula>
    </cfRule>
  </conditionalFormatting>
  <conditionalFormatting sqref="BY38">
    <cfRule type="expression" dxfId="674" priority="724" stopIfTrue="1">
      <formula>$AN$33="NO"</formula>
    </cfRule>
  </conditionalFormatting>
  <conditionalFormatting sqref="BZ38">
    <cfRule type="expression" dxfId="673" priority="723" stopIfTrue="1">
      <formula>$AN$33="NO"</formula>
    </cfRule>
  </conditionalFormatting>
  <conditionalFormatting sqref="BZ37">
    <cfRule type="expression" dxfId="672" priority="722" stopIfTrue="1">
      <formula>$AN$33="NO"</formula>
    </cfRule>
  </conditionalFormatting>
  <conditionalFormatting sqref="CA37">
    <cfRule type="expression" dxfId="671" priority="721" stopIfTrue="1">
      <formula>$AN$33="NO"</formula>
    </cfRule>
  </conditionalFormatting>
  <conditionalFormatting sqref="CA38">
    <cfRule type="expression" dxfId="670" priority="720" stopIfTrue="1">
      <formula>$AN$33="NO"</formula>
    </cfRule>
  </conditionalFormatting>
  <conditionalFormatting sqref="BV35">
    <cfRule type="expression" dxfId="669" priority="719">
      <formula>$AC$90="NO"</formula>
    </cfRule>
  </conditionalFormatting>
  <conditionalFormatting sqref="BV37">
    <cfRule type="expression" dxfId="668" priority="718">
      <formula>$AC$90="NO"</formula>
    </cfRule>
  </conditionalFormatting>
  <conditionalFormatting sqref="BV38">
    <cfRule type="expression" dxfId="667" priority="717">
      <formula>$AC$90="NO"</formula>
    </cfRule>
  </conditionalFormatting>
  <conditionalFormatting sqref="BV72">
    <cfRule type="expression" dxfId="666" priority="716">
      <formula>$AC$90="NO"</formula>
    </cfRule>
  </conditionalFormatting>
  <conditionalFormatting sqref="BV73">
    <cfRule type="expression" dxfId="665" priority="715">
      <formula>$AC$90="NO"</formula>
    </cfRule>
  </conditionalFormatting>
  <conditionalFormatting sqref="AA79:AA80 AA84:AA85">
    <cfRule type="cellIs" dxfId="664" priority="12474" stopIfTrue="1" operator="equal">
      <formula>""</formula>
    </cfRule>
  </conditionalFormatting>
  <conditionalFormatting sqref="AC64:AC65">
    <cfRule type="cellIs" dxfId="663" priority="795" operator="lessThan">
      <formula>0.9*$X$64</formula>
    </cfRule>
  </conditionalFormatting>
  <conditionalFormatting sqref="AC64:AC65">
    <cfRule type="cellIs" dxfId="662" priority="708" stopIfTrue="1" operator="equal">
      <formula>""</formula>
    </cfRule>
  </conditionalFormatting>
  <conditionalFormatting sqref="AC67:AC68">
    <cfRule type="cellIs" dxfId="661" priority="706" operator="lessThan">
      <formula>0.9*$X$67</formula>
    </cfRule>
  </conditionalFormatting>
  <conditionalFormatting sqref="AC67:AC68">
    <cfRule type="cellIs" dxfId="660" priority="705" stopIfTrue="1" operator="equal">
      <formula>""</formula>
    </cfRule>
  </conditionalFormatting>
  <conditionalFormatting sqref="AC70:AC71">
    <cfRule type="cellIs" dxfId="659" priority="703" operator="lessThan">
      <formula>0.9*$X$70</formula>
    </cfRule>
  </conditionalFormatting>
  <conditionalFormatting sqref="AC70:AC71">
    <cfRule type="cellIs" dxfId="658" priority="702" stopIfTrue="1" operator="equal">
      <formula>""</formula>
    </cfRule>
  </conditionalFormatting>
  <conditionalFormatting sqref="AC73:AC74">
    <cfRule type="cellIs" dxfId="657" priority="700" operator="lessThan">
      <formula>0.9*$X$73</formula>
    </cfRule>
  </conditionalFormatting>
  <conditionalFormatting sqref="AC73:AC74">
    <cfRule type="cellIs" dxfId="656" priority="699" stopIfTrue="1" operator="equal">
      <formula>""</formula>
    </cfRule>
  </conditionalFormatting>
  <conditionalFormatting sqref="AC76:AC77">
    <cfRule type="cellIs" dxfId="655" priority="709" operator="lessThan">
      <formula>0.9*$X$76</formula>
    </cfRule>
  </conditionalFormatting>
  <conditionalFormatting sqref="AC76:AC77">
    <cfRule type="cellIs" dxfId="654" priority="697" stopIfTrue="1" operator="equal">
      <formula>""</formula>
    </cfRule>
  </conditionalFormatting>
  <conditionalFormatting sqref="AC79:AC80">
    <cfRule type="cellIs" dxfId="653" priority="12636" stopIfTrue="1" operator="equal">
      <formula>""</formula>
    </cfRule>
  </conditionalFormatting>
  <conditionalFormatting sqref="AC84:AC85">
    <cfRule type="cellIs" dxfId="652" priority="12638" stopIfTrue="1" operator="equal">
      <formula>""</formula>
    </cfRule>
  </conditionalFormatting>
  <conditionalFormatting sqref="AN61">
    <cfRule type="expression" dxfId="651" priority="685" stopIfTrue="1">
      <formula>$AN$33="NO"</formula>
    </cfRule>
  </conditionalFormatting>
  <conditionalFormatting sqref="E2">
    <cfRule type="cellIs" dxfId="650" priority="669" operator="greaterThan">
      <formula>0</formula>
    </cfRule>
  </conditionalFormatting>
  <conditionalFormatting sqref="W89:AB89">
    <cfRule type="expression" dxfId="649" priority="12586">
      <formula>$AF$15="YES"</formula>
    </cfRule>
  </conditionalFormatting>
  <conditionalFormatting sqref="AC89">
    <cfRule type="expression" dxfId="648" priority="12587">
      <formula>(AND($H$7="Dry",$AD$15="YES"))</formula>
    </cfRule>
  </conditionalFormatting>
  <conditionalFormatting sqref="W16:AC16">
    <cfRule type="expression" priority="517" stopIfTrue="1">
      <formula>$H$7="Late"</formula>
    </cfRule>
  </conditionalFormatting>
  <conditionalFormatting sqref="AK67:AK68">
    <cfRule type="expression" dxfId="647" priority="606" stopIfTrue="1">
      <formula>$J$67=""</formula>
    </cfRule>
  </conditionalFormatting>
  <conditionalFormatting sqref="AK67">
    <cfRule type="expression" dxfId="646" priority="605" stopIfTrue="1">
      <formula>$AN$33="NO"</formula>
    </cfRule>
    <cfRule type="expression" dxfId="645" priority="607">
      <formula>$AK$67=""</formula>
    </cfRule>
  </conditionalFormatting>
  <conditionalFormatting sqref="V14:AE14">
    <cfRule type="expression" dxfId="644" priority="581">
      <formula>$H$7="Dry"</formula>
    </cfRule>
  </conditionalFormatting>
  <conditionalFormatting sqref="U14:U32">
    <cfRule type="expression" dxfId="643" priority="580">
      <formula>$H$7="Dry"</formula>
    </cfRule>
  </conditionalFormatting>
  <conditionalFormatting sqref="AF27 AF29 AF31:AF33 AF14:AF25">
    <cfRule type="expression" dxfId="642" priority="579">
      <formula>$H$7="Dry"</formula>
    </cfRule>
  </conditionalFormatting>
  <conditionalFormatting sqref="AE15:AE17">
    <cfRule type="expression" dxfId="641" priority="577">
      <formula>$H$7="Dry"</formula>
    </cfRule>
  </conditionalFormatting>
  <conditionalFormatting sqref="V17">
    <cfRule type="expression" dxfId="640" priority="576">
      <formula>$H$7="Dry"</formula>
    </cfRule>
  </conditionalFormatting>
  <conditionalFormatting sqref="V16">
    <cfRule type="expression" dxfId="639" priority="575">
      <formula>$H$7="Dry"</formula>
    </cfRule>
  </conditionalFormatting>
  <conditionalFormatting sqref="V15">
    <cfRule type="expression" dxfId="638" priority="574">
      <formula>$H$7="Dry"</formula>
    </cfRule>
  </conditionalFormatting>
  <conditionalFormatting sqref="V32">
    <cfRule type="expression" dxfId="637" priority="570">
      <formula>$H$7="Dry"</formula>
    </cfRule>
  </conditionalFormatting>
  <conditionalFormatting sqref="AA84:AA85 AA79:AA80">
    <cfRule type="expression" dxfId="636" priority="12446" stopIfTrue="1">
      <formula>$AF$15="YES"</formula>
    </cfRule>
  </conditionalFormatting>
  <conditionalFormatting sqref="AA86:AA87 AC86:AC87 AA81:AA82">
    <cfRule type="expression" dxfId="635" priority="582" stopIfTrue="1">
      <formula>$AF$15="NO"</formula>
    </cfRule>
  </conditionalFormatting>
  <conditionalFormatting sqref="W17:AD17">
    <cfRule type="expression" dxfId="634" priority="515" stopIfTrue="1">
      <formula>$AF$15="NO"</formula>
    </cfRule>
  </conditionalFormatting>
  <conditionalFormatting sqref="M49:M50 K49 O49 Q49">
    <cfRule type="expression" dxfId="633" priority="11077">
      <formula>$C$49="Minerals"</formula>
    </cfRule>
  </conditionalFormatting>
  <conditionalFormatting sqref="M43 O43 Q43">
    <cfRule type="expression" dxfId="632" priority="11073">
      <formula>$C$43="Minerals"</formula>
    </cfRule>
  </conditionalFormatting>
  <conditionalFormatting sqref="K46:K47 O46 Q46">
    <cfRule type="expression" dxfId="631" priority="11075">
      <formula>$C$46="Minerals"</formula>
    </cfRule>
  </conditionalFormatting>
  <conditionalFormatting sqref="M46">
    <cfRule type="expression" dxfId="630" priority="468">
      <formula>$C$43="Minerals"</formula>
    </cfRule>
  </conditionalFormatting>
  <conditionalFormatting sqref="K52">
    <cfRule type="expression" dxfId="629" priority="465">
      <formula>(OR($E$52="",$H$52=""))</formula>
    </cfRule>
    <cfRule type="cellIs" dxfId="628" priority="466" operator="greaterThan">
      <formula>0</formula>
    </cfRule>
  </conditionalFormatting>
  <conditionalFormatting sqref="K52 M52 O52 Q52">
    <cfRule type="expression" dxfId="627" priority="11079">
      <formula>$C$52="Minerals"</formula>
    </cfRule>
  </conditionalFormatting>
  <conditionalFormatting sqref="K55">
    <cfRule type="expression" dxfId="626" priority="462">
      <formula>(OR($E$55="",$H$55=""))</formula>
    </cfRule>
    <cfRule type="cellIs" dxfId="625" priority="463" operator="greaterThan">
      <formula>0</formula>
    </cfRule>
  </conditionalFormatting>
  <conditionalFormatting sqref="K55 M55 O55 Q55">
    <cfRule type="expression" dxfId="624" priority="11081">
      <formula>$C$55="Minerals"</formula>
    </cfRule>
  </conditionalFormatting>
  <conditionalFormatting sqref="K58">
    <cfRule type="expression" dxfId="623" priority="459">
      <formula>(OR($E$58="",$H$58=""))</formula>
    </cfRule>
    <cfRule type="cellIs" dxfId="622" priority="460" operator="greaterThan">
      <formula>0</formula>
    </cfRule>
  </conditionalFormatting>
  <conditionalFormatting sqref="K58 M58 O58 Q58">
    <cfRule type="expression" dxfId="621" priority="11083">
      <formula>$C$58="Minerals"</formula>
    </cfRule>
  </conditionalFormatting>
  <conditionalFormatting sqref="M61 O61 Q61">
    <cfRule type="expression" dxfId="620" priority="11085">
      <formula>$C$61="Minerals"</formula>
    </cfRule>
  </conditionalFormatting>
  <conditionalFormatting sqref="K64">
    <cfRule type="expression" dxfId="619" priority="453">
      <formula>(OR($E$64="",$H$64=""))</formula>
    </cfRule>
    <cfRule type="cellIs" dxfId="618" priority="454" operator="greaterThan">
      <formula>0</formula>
    </cfRule>
  </conditionalFormatting>
  <conditionalFormatting sqref="K64 M64 O64 Q64">
    <cfRule type="expression" dxfId="617" priority="11087">
      <formula>$C$64="Minerals"</formula>
    </cfRule>
  </conditionalFormatting>
  <conditionalFormatting sqref="K67">
    <cfRule type="expression" dxfId="616" priority="450">
      <formula>(OR($E$67="",$H$67=""))</formula>
    </cfRule>
    <cfRule type="cellIs" dxfId="615" priority="451" operator="greaterThan">
      <formula>0</formula>
    </cfRule>
  </conditionalFormatting>
  <conditionalFormatting sqref="K67 M67 O67 Q67">
    <cfRule type="expression" dxfId="614" priority="11089">
      <formula>$C$67="Minerals"</formula>
    </cfRule>
  </conditionalFormatting>
  <conditionalFormatting sqref="AK64:AK65">
    <cfRule type="expression" dxfId="613" priority="448" stopIfTrue="1">
      <formula>$J$64=""</formula>
    </cfRule>
  </conditionalFormatting>
  <conditionalFormatting sqref="AK64">
    <cfRule type="expression" dxfId="612" priority="447" stopIfTrue="1">
      <formula>$AN$33="NO"</formula>
    </cfRule>
    <cfRule type="expression" dxfId="611" priority="449">
      <formula>$AK$64=""</formula>
    </cfRule>
  </conditionalFormatting>
  <conditionalFormatting sqref="AK61:AK62">
    <cfRule type="expression" dxfId="610" priority="445" stopIfTrue="1">
      <formula>$J$61=""</formula>
    </cfRule>
  </conditionalFormatting>
  <conditionalFormatting sqref="AK61">
    <cfRule type="expression" dxfId="609" priority="444" stopIfTrue="1">
      <formula>$AN$33="NO"</formula>
    </cfRule>
    <cfRule type="expression" dxfId="608" priority="446">
      <formula>$AK$61=""</formula>
    </cfRule>
  </conditionalFormatting>
  <conditionalFormatting sqref="AK58:AK59">
    <cfRule type="expression" dxfId="607" priority="442" stopIfTrue="1">
      <formula>$J$58=""</formula>
    </cfRule>
  </conditionalFormatting>
  <conditionalFormatting sqref="AK58">
    <cfRule type="expression" dxfId="606" priority="441" stopIfTrue="1">
      <formula>$AN$33="NO"</formula>
    </cfRule>
    <cfRule type="expression" dxfId="605" priority="443">
      <formula>$AK$58=""</formula>
    </cfRule>
  </conditionalFormatting>
  <conditionalFormatting sqref="AK55:AK56">
    <cfRule type="expression" dxfId="604" priority="439" stopIfTrue="1">
      <formula>$J$55=""</formula>
    </cfRule>
  </conditionalFormatting>
  <conditionalFormatting sqref="AK55">
    <cfRule type="expression" dxfId="603" priority="438" stopIfTrue="1">
      <formula>$AN$33="NO"</formula>
    </cfRule>
    <cfRule type="expression" dxfId="602" priority="440">
      <formula>$AK$55=""</formula>
    </cfRule>
  </conditionalFormatting>
  <conditionalFormatting sqref="AK52:AK53">
    <cfRule type="expression" dxfId="601" priority="436" stopIfTrue="1">
      <formula>$J$52=""</formula>
    </cfRule>
  </conditionalFormatting>
  <conditionalFormatting sqref="AK52">
    <cfRule type="expression" dxfId="600" priority="435" stopIfTrue="1">
      <formula>$AN$33="NO"</formula>
    </cfRule>
    <cfRule type="expression" dxfId="599" priority="437">
      <formula>$AK$52=""</formula>
    </cfRule>
  </conditionalFormatting>
  <conditionalFormatting sqref="AK49:AK50">
    <cfRule type="expression" dxfId="598" priority="433" stopIfTrue="1">
      <formula>$J$49=""</formula>
    </cfRule>
  </conditionalFormatting>
  <conditionalFormatting sqref="AK49">
    <cfRule type="expression" dxfId="597" priority="432" stopIfTrue="1">
      <formula>$AN$33="NO"</formula>
    </cfRule>
    <cfRule type="expression" dxfId="596" priority="434">
      <formula>$AK$49=""</formula>
    </cfRule>
  </conditionalFormatting>
  <conditionalFormatting sqref="AK46:AK47">
    <cfRule type="expression" dxfId="595" priority="430" stopIfTrue="1">
      <formula>$J$46=""</formula>
    </cfRule>
  </conditionalFormatting>
  <conditionalFormatting sqref="AK46">
    <cfRule type="expression" dxfId="594" priority="429" stopIfTrue="1">
      <formula>$AN$33="NO"</formula>
    </cfRule>
    <cfRule type="expression" dxfId="593" priority="431">
      <formula>$AK$46=""</formula>
    </cfRule>
  </conditionalFormatting>
  <conditionalFormatting sqref="AK43:AK44">
    <cfRule type="expression" dxfId="592" priority="427" stopIfTrue="1">
      <formula>$J$43=""</formula>
    </cfRule>
  </conditionalFormatting>
  <conditionalFormatting sqref="AK43">
    <cfRule type="expression" dxfId="591" priority="426" stopIfTrue="1">
      <formula>$AN$33="NO"</formula>
    </cfRule>
    <cfRule type="expression" dxfId="590" priority="428">
      <formula>$AK$43=""</formula>
    </cfRule>
  </conditionalFormatting>
  <conditionalFormatting sqref="AL46">
    <cfRule type="expression" dxfId="589" priority="423" stopIfTrue="1">
      <formula>$AN$33="NO"</formula>
    </cfRule>
  </conditionalFormatting>
  <conditionalFormatting sqref="AL49">
    <cfRule type="expression" dxfId="588" priority="422" stopIfTrue="1">
      <formula>$AN$33="NO"</formula>
    </cfRule>
  </conditionalFormatting>
  <conditionalFormatting sqref="AL52">
    <cfRule type="expression" dxfId="587" priority="421" stopIfTrue="1">
      <formula>$AN$33="NO"</formula>
    </cfRule>
  </conditionalFormatting>
  <conditionalFormatting sqref="AL55">
    <cfRule type="expression" dxfId="586" priority="420" stopIfTrue="1">
      <formula>$AN$33="NO"</formula>
    </cfRule>
  </conditionalFormatting>
  <conditionalFormatting sqref="AL58">
    <cfRule type="expression" dxfId="585" priority="419" stopIfTrue="1">
      <formula>$AN$33="NO"</formula>
    </cfRule>
  </conditionalFormatting>
  <conditionalFormatting sqref="AL61">
    <cfRule type="expression" dxfId="584" priority="418" stopIfTrue="1">
      <formula>$AN$33="NO"</formula>
    </cfRule>
  </conditionalFormatting>
  <conditionalFormatting sqref="AL64">
    <cfRule type="expression" dxfId="583" priority="417" stopIfTrue="1">
      <formula>$AN$33="NO"</formula>
    </cfRule>
  </conditionalFormatting>
  <conditionalFormatting sqref="AL67">
    <cfRule type="expression" dxfId="582" priority="416" stopIfTrue="1">
      <formula>$AN$33="NO"</formula>
    </cfRule>
  </conditionalFormatting>
  <conditionalFormatting sqref="AW40">
    <cfRule type="cellIs" dxfId="581" priority="413" operator="equal">
      <formula>0</formula>
    </cfRule>
  </conditionalFormatting>
  <conditionalFormatting sqref="BN47">
    <cfRule type="cellIs" dxfId="580" priority="403" operator="equal">
      <formula>0</formula>
    </cfRule>
  </conditionalFormatting>
  <conditionalFormatting sqref="BO47:BT47">
    <cfRule type="cellIs" dxfId="579" priority="402" operator="equal">
      <formula>0</formula>
    </cfRule>
  </conditionalFormatting>
  <conditionalFormatting sqref="BN50">
    <cfRule type="cellIs" dxfId="578" priority="401" operator="equal">
      <formula>0</formula>
    </cfRule>
  </conditionalFormatting>
  <conditionalFormatting sqref="BO50:BT50">
    <cfRule type="cellIs" dxfId="577" priority="400" operator="equal">
      <formula>0</formula>
    </cfRule>
  </conditionalFormatting>
  <conditionalFormatting sqref="BN53">
    <cfRule type="cellIs" dxfId="576" priority="399" operator="equal">
      <formula>0</formula>
    </cfRule>
  </conditionalFormatting>
  <conditionalFormatting sqref="BO53:BT53">
    <cfRule type="cellIs" dxfId="575" priority="398" operator="equal">
      <formula>0</formula>
    </cfRule>
  </conditionalFormatting>
  <conditionalFormatting sqref="BN56">
    <cfRule type="cellIs" dxfId="574" priority="397" operator="equal">
      <formula>0</formula>
    </cfRule>
  </conditionalFormatting>
  <conditionalFormatting sqref="BO56:BT56">
    <cfRule type="cellIs" dxfId="573" priority="396" operator="equal">
      <formula>0</formula>
    </cfRule>
  </conditionalFormatting>
  <conditionalFormatting sqref="BN59">
    <cfRule type="cellIs" dxfId="572" priority="395" operator="equal">
      <formula>0</formula>
    </cfRule>
  </conditionalFormatting>
  <conditionalFormatting sqref="BO59:BT59">
    <cfRule type="cellIs" dxfId="571" priority="394" operator="equal">
      <formula>0</formula>
    </cfRule>
  </conditionalFormatting>
  <conditionalFormatting sqref="BN62">
    <cfRule type="cellIs" dxfId="570" priority="393" operator="equal">
      <formula>0</formula>
    </cfRule>
  </conditionalFormatting>
  <conditionalFormatting sqref="BO62:BT62">
    <cfRule type="cellIs" dxfId="569" priority="392" operator="equal">
      <formula>0</formula>
    </cfRule>
  </conditionalFormatting>
  <conditionalFormatting sqref="BN65">
    <cfRule type="cellIs" dxfId="568" priority="391" operator="equal">
      <formula>0</formula>
    </cfRule>
  </conditionalFormatting>
  <conditionalFormatting sqref="BO65:BT65">
    <cfRule type="cellIs" dxfId="567" priority="390" operator="equal">
      <formula>0</formula>
    </cfRule>
  </conditionalFormatting>
  <conditionalFormatting sqref="BN68">
    <cfRule type="cellIs" dxfId="566" priority="389" operator="equal">
      <formula>0</formula>
    </cfRule>
  </conditionalFormatting>
  <conditionalFormatting sqref="BO68:BT68">
    <cfRule type="cellIs" dxfId="565" priority="388" operator="equal">
      <formula>0</formula>
    </cfRule>
  </conditionalFormatting>
  <conditionalFormatting sqref="BN43:BT43">
    <cfRule type="cellIs" dxfId="564" priority="386" operator="equal">
      <formula>0</formula>
    </cfRule>
  </conditionalFormatting>
  <conditionalFormatting sqref="BN46:BT46">
    <cfRule type="cellIs" dxfId="563" priority="369" operator="equal">
      <formula>0</formula>
    </cfRule>
  </conditionalFormatting>
  <conditionalFormatting sqref="BN49:BT49">
    <cfRule type="cellIs" dxfId="562" priority="367" operator="equal">
      <formula>0</formula>
    </cfRule>
  </conditionalFormatting>
  <conditionalFormatting sqref="BN52:BT52">
    <cfRule type="cellIs" dxfId="561" priority="366" operator="equal">
      <formula>0</formula>
    </cfRule>
  </conditionalFormatting>
  <conditionalFormatting sqref="BN55:BT55">
    <cfRule type="cellIs" dxfId="560" priority="365" operator="equal">
      <formula>0</formula>
    </cfRule>
  </conditionalFormatting>
  <conditionalFormatting sqref="BN58:BT58">
    <cfRule type="cellIs" dxfId="559" priority="364" operator="equal">
      <formula>0</formula>
    </cfRule>
  </conditionalFormatting>
  <conditionalFormatting sqref="BN61:BT61">
    <cfRule type="cellIs" dxfId="558" priority="363" operator="equal">
      <formula>0</formula>
    </cfRule>
  </conditionalFormatting>
  <conditionalFormatting sqref="BN64:BT64">
    <cfRule type="cellIs" dxfId="557" priority="362" operator="equal">
      <formula>0</formula>
    </cfRule>
  </conditionalFormatting>
  <conditionalFormatting sqref="BN67:BT67">
    <cfRule type="cellIs" dxfId="556" priority="361" operator="equal">
      <formula>0</formula>
    </cfRule>
  </conditionalFormatting>
  <conditionalFormatting sqref="K40:K41">
    <cfRule type="expression" dxfId="555" priority="327">
      <formula>$K$40&gt;0</formula>
    </cfRule>
  </conditionalFormatting>
  <conditionalFormatting sqref="AB40:AB41">
    <cfRule type="expression" dxfId="554" priority="315">
      <formula>(AND(H7="Dry",$AD$15="YES",AD16="YES"))</formula>
    </cfRule>
  </conditionalFormatting>
  <conditionalFormatting sqref="Y40:Y41">
    <cfRule type="expression" dxfId="553" priority="314">
      <formula>(AND(H7="Dry",$AD$15="YES",AD16="YES"))</formula>
    </cfRule>
  </conditionalFormatting>
  <conditionalFormatting sqref="X40:X41">
    <cfRule type="expression" dxfId="552" priority="313">
      <formula>(AND(H7="Dry",$AD$15="YES",AD16="YES"))</formula>
    </cfRule>
  </conditionalFormatting>
  <conditionalFormatting sqref="AD40:AD41">
    <cfRule type="expression" dxfId="551" priority="809">
      <formula>(AND(H7="Dry",$AD$15="YES",AD16="YES"))</formula>
    </cfRule>
  </conditionalFormatting>
  <conditionalFormatting sqref="X43:X44">
    <cfRule type="expression" dxfId="550" priority="308">
      <formula>(AND(H7="Dry",$AD15="YES",AD16="YES"))</formula>
    </cfRule>
  </conditionalFormatting>
  <conditionalFormatting sqref="Y43:Y44">
    <cfRule type="expression" dxfId="549" priority="307">
      <formula>(AND(H7="Dry",$AD15="YES",AD16="YES"))</formula>
    </cfRule>
  </conditionalFormatting>
  <conditionalFormatting sqref="AA43:AA44">
    <cfRule type="expression" dxfId="548" priority="12391" stopIfTrue="1">
      <formula>(AND(H7="Dry",$AD15="YES",AD16="YES"))</formula>
    </cfRule>
  </conditionalFormatting>
  <conditionalFormatting sqref="AB43:AB44">
    <cfRule type="expression" dxfId="547" priority="303">
      <formula>(AND(H7="Dry",$AD15="YES",AD16="YES"))</formula>
    </cfRule>
  </conditionalFormatting>
  <conditionalFormatting sqref="AA42">
    <cfRule type="expression" dxfId="546" priority="302">
      <formula>$AD$16="YES"</formula>
    </cfRule>
  </conditionalFormatting>
  <conditionalFormatting sqref="O40:O41">
    <cfRule type="expression" dxfId="545" priority="11071">
      <formula>AND(K40&gt;0,O40="")</formula>
    </cfRule>
  </conditionalFormatting>
  <conditionalFormatting sqref="AC40:AC41">
    <cfRule type="expression" dxfId="544" priority="12991" stopIfTrue="1">
      <formula>(AND(H7="Dry",$AD$15="YES",AD16="YES"))</formula>
    </cfRule>
    <cfRule type="expression" dxfId="543" priority="13454" stopIfTrue="1">
      <formula>$AD$40&lt;-0.5</formula>
    </cfRule>
  </conditionalFormatting>
  <conditionalFormatting sqref="AC79:AC80">
    <cfRule type="expression" dxfId="542" priority="12997" stopIfTrue="1">
      <formula>$AF$15="YES"</formula>
    </cfRule>
    <cfRule type="cellIs" dxfId="541" priority="12998" operator="lessThan">
      <formula>0.9*$X$79</formula>
    </cfRule>
  </conditionalFormatting>
  <conditionalFormatting sqref="AC84:AC85">
    <cfRule type="expression" dxfId="540" priority="12999" stopIfTrue="1">
      <formula>$AF$15="YES"</formula>
    </cfRule>
    <cfRule type="cellIs" dxfId="539" priority="13000" operator="lessThan">
      <formula>0.9*$X$84</formula>
    </cfRule>
  </conditionalFormatting>
  <conditionalFormatting sqref="W16:AC16">
    <cfRule type="expression" dxfId="538" priority="13021" stopIfTrue="1">
      <formula>$AD$15="NO"</formula>
    </cfRule>
    <cfRule type="expression" dxfId="537" priority="13022">
      <formula>$AF$15="YES"</formula>
    </cfRule>
  </conditionalFormatting>
  <conditionalFormatting sqref="AD16">
    <cfRule type="expression" dxfId="536" priority="179" stopIfTrue="1">
      <formula>AF15="YES"</formula>
    </cfRule>
    <cfRule type="expression" dxfId="535" priority="292">
      <formula>AF15="NO"</formula>
    </cfRule>
  </conditionalFormatting>
  <conditionalFormatting sqref="G20">
    <cfRule type="cellIs" dxfId="534" priority="196" operator="greaterThan">
      <formula>0</formula>
    </cfRule>
  </conditionalFormatting>
  <conditionalFormatting sqref="G21">
    <cfRule type="cellIs" dxfId="533" priority="195" operator="greaterThan">
      <formula>0</formula>
    </cfRule>
  </conditionalFormatting>
  <conditionalFormatting sqref="G22">
    <cfRule type="cellIs" dxfId="532" priority="194" operator="greaterThan">
      <formula>0</formula>
    </cfRule>
  </conditionalFormatting>
  <conditionalFormatting sqref="AC42">
    <cfRule type="expression" dxfId="531" priority="13313">
      <formula>$AD16="YES"</formula>
    </cfRule>
    <cfRule type="expression" dxfId="530" priority="13314">
      <formula>$R$33="NO"</formula>
    </cfRule>
  </conditionalFormatting>
  <conditionalFormatting sqref="AC81:AC82">
    <cfRule type="cellIs" dxfId="529" priority="13321" operator="between">
      <formula>$X$79/0.9</formula>
      <formula>0.9*#REF!</formula>
    </cfRule>
  </conditionalFormatting>
  <conditionalFormatting sqref="AA81:AA82">
    <cfRule type="cellIs" dxfId="528" priority="13322" stopIfTrue="1" operator="equal">
      <formula>""</formula>
    </cfRule>
    <cfRule type="cellIs" dxfId="527" priority="13323" operator="between">
      <formula>$X$79/0.9</formula>
      <formula>0.9*#REF!</formula>
    </cfRule>
  </conditionalFormatting>
  <conditionalFormatting sqref="W19:Y19">
    <cfRule type="expression" dxfId="526" priority="151" stopIfTrue="1">
      <formula>AF15="NO"</formula>
    </cfRule>
    <cfRule type="expression" dxfId="525" priority="152" stopIfTrue="1">
      <formula>(OR(H7="Early",H7="Mid",H7="Late"))</formula>
    </cfRule>
    <cfRule type="expression" dxfId="524" priority="155">
      <formula>AF16="NO"</formula>
    </cfRule>
  </conditionalFormatting>
  <conditionalFormatting sqref="AA19">
    <cfRule type="expression" dxfId="523" priority="146" stopIfTrue="1">
      <formula>AF15="NO"</formula>
    </cfRule>
    <cfRule type="expression" dxfId="522" priority="149" stopIfTrue="1">
      <formula>(OR(H7=E="Early",H7="Mid",H7="Late"))</formula>
    </cfRule>
    <cfRule type="expression" dxfId="521" priority="150">
      <formula>AF16="NO"</formula>
    </cfRule>
  </conditionalFormatting>
  <conditionalFormatting sqref="AD15">
    <cfRule type="expression" dxfId="520" priority="144" stopIfTrue="1">
      <formula>H7="Dry"</formula>
    </cfRule>
  </conditionalFormatting>
  <conditionalFormatting sqref="AC19">
    <cfRule type="expression" dxfId="519" priority="141" stopIfTrue="1">
      <formula>AF15="NO"</formula>
    </cfRule>
    <cfRule type="expression" dxfId="518" priority="142" stopIfTrue="1">
      <formula>(OR(H7="Early",H7="Mid",H7="Late"))</formula>
    </cfRule>
    <cfRule type="expression" dxfId="517" priority="143">
      <formula>AF16="NO"</formula>
    </cfRule>
  </conditionalFormatting>
  <conditionalFormatting sqref="W21">
    <cfRule type="expression" dxfId="516" priority="137" stopIfTrue="1">
      <formula>AF12="NO"</formula>
    </cfRule>
    <cfRule type="expression" dxfId="515" priority="138" stopIfTrue="1">
      <formula>(OR(H7="Early",H7="Mid",H7="Late"))</formula>
    </cfRule>
    <cfRule type="expression" dxfId="514" priority="140">
      <formula>AF16="NO"</formula>
    </cfRule>
  </conditionalFormatting>
  <conditionalFormatting sqref="X21">
    <cfRule type="expression" dxfId="513" priority="135" stopIfTrue="1">
      <formula>AF15="NO"</formula>
    </cfRule>
    <cfRule type="expression" dxfId="512" priority="136" stopIfTrue="1">
      <formula>(OR(H7="Early",H7="Mid",H7="Late"))</formula>
    </cfRule>
    <cfRule type="expression" dxfId="511" priority="139">
      <formula>AF16="NO"</formula>
    </cfRule>
  </conditionalFormatting>
  <conditionalFormatting sqref="Y21">
    <cfRule type="expression" dxfId="510" priority="132" stopIfTrue="1">
      <formula>AF15="NO"</formula>
    </cfRule>
    <cfRule type="expression" dxfId="509" priority="133" stopIfTrue="1">
      <formula>(OR(H7="Early",H7="Mid",H7="Late"))</formula>
    </cfRule>
    <cfRule type="expression" dxfId="508" priority="134">
      <formula>AF16="NO"</formula>
    </cfRule>
  </conditionalFormatting>
  <conditionalFormatting sqref="AA21">
    <cfRule type="expression" dxfId="507" priority="78" stopIfTrue="1">
      <formula>AF15="NO"</formula>
    </cfRule>
    <cfRule type="expression" dxfId="506" priority="79" stopIfTrue="1">
      <formula>(OR(H7="Early",H7="Mid",H7="Late"))</formula>
    </cfRule>
    <cfRule type="expression" dxfId="505" priority="129" stopIfTrue="1">
      <formula>AF16="NO"</formula>
    </cfRule>
    <cfRule type="expression" dxfId="504" priority="130" stopIfTrue="1">
      <formula>AB21&lt;-0.5</formula>
    </cfRule>
    <cfRule type="expression" dxfId="503" priority="131">
      <formula>AB21&gt;0.5</formula>
    </cfRule>
  </conditionalFormatting>
  <conditionalFormatting sqref="AB21">
    <cfRule type="expression" dxfId="502" priority="126" stopIfTrue="1">
      <formula>AF15="NO"</formula>
    </cfRule>
    <cfRule type="expression" dxfId="501" priority="127" stopIfTrue="1">
      <formula>(OR(H7="Early",H7="Mid",H7="Late"))</formula>
    </cfRule>
    <cfRule type="expression" dxfId="500" priority="128">
      <formula>AF16="NO"</formula>
    </cfRule>
  </conditionalFormatting>
  <conditionalFormatting sqref="W23">
    <cfRule type="expression" dxfId="499" priority="114" stopIfTrue="1">
      <formula>AF15="NO"</formula>
    </cfRule>
    <cfRule type="expression" dxfId="498" priority="117" stopIfTrue="1">
      <formula>(OR(H7="Early",H7="Mid",H7="Late"))</formula>
    </cfRule>
    <cfRule type="expression" dxfId="497" priority="118">
      <formula>AF16="NO"</formula>
    </cfRule>
  </conditionalFormatting>
  <conditionalFormatting sqref="X23">
    <cfRule type="expression" dxfId="496" priority="111" stopIfTrue="1">
      <formula>AF15="NO"</formula>
    </cfRule>
    <cfRule type="expression" dxfId="495" priority="112" stopIfTrue="1">
      <formula>(OR(H7="Early",H7="Mid",H7="Late"))</formula>
    </cfRule>
    <cfRule type="expression" dxfId="494" priority="113">
      <formula>AF16="NO"</formula>
    </cfRule>
  </conditionalFormatting>
  <conditionalFormatting sqref="Y23">
    <cfRule type="expression" dxfId="493" priority="108" stopIfTrue="1">
      <formula>AF15="NO"</formula>
    </cfRule>
    <cfRule type="expression" dxfId="492" priority="109" stopIfTrue="1">
      <formula>(OR(H7="Early",H7="Mid",H7="Late"))</formula>
    </cfRule>
    <cfRule type="expression" dxfId="491" priority="110">
      <formula>AF16="NO"</formula>
    </cfRule>
  </conditionalFormatting>
  <conditionalFormatting sqref="AA23">
    <cfRule type="expression" dxfId="490" priority="73" stopIfTrue="1">
      <formula>AF15="NO"</formula>
    </cfRule>
    <cfRule type="expression" dxfId="489" priority="74" stopIfTrue="1">
      <formula>(OR(H7="Early",H7="Mid",H7="Late"))</formula>
    </cfRule>
    <cfRule type="expression" dxfId="488" priority="105" stopIfTrue="1">
      <formula>AF16="NO"</formula>
    </cfRule>
    <cfRule type="expression" dxfId="487" priority="106" stopIfTrue="1">
      <formula>AB23&lt;-(0.5*AA22)</formula>
    </cfRule>
    <cfRule type="expression" dxfId="486" priority="107">
      <formula>AB23&gt;(0.5*AA22)</formula>
    </cfRule>
  </conditionalFormatting>
  <conditionalFormatting sqref="AB23">
    <cfRule type="expression" dxfId="485" priority="102" stopIfTrue="1">
      <formula>AF15="NO"</formula>
    </cfRule>
    <cfRule type="expression" dxfId="484" priority="103" stopIfTrue="1">
      <formula>(OR(H7="Early",H7="Mid",H7="Late"))</formula>
    </cfRule>
    <cfRule type="expression" dxfId="483" priority="104">
      <formula>AF16="NO"</formula>
    </cfRule>
  </conditionalFormatting>
  <conditionalFormatting sqref="W20">
    <cfRule type="expression" dxfId="482" priority="93" stopIfTrue="1">
      <formula>AF15="NO"</formula>
    </cfRule>
    <cfRule type="expression" dxfId="481" priority="94" stopIfTrue="1">
      <formula>(OR(H7="Early",H7="Mid",H7="Late"))</formula>
    </cfRule>
    <cfRule type="expression" dxfId="480" priority="95">
      <formula>AF16="NO"</formula>
    </cfRule>
  </conditionalFormatting>
  <conditionalFormatting sqref="X20">
    <cfRule type="expression" dxfId="479" priority="90" stopIfTrue="1">
      <formula>AF15="NO"</formula>
    </cfRule>
    <cfRule type="expression" dxfId="478" priority="91" stopIfTrue="1">
      <formula>(OR(H7="Early",H7="Mid",H7="Late"))</formula>
    </cfRule>
    <cfRule type="expression" dxfId="477" priority="92">
      <formula>AF16="NO"</formula>
    </cfRule>
  </conditionalFormatting>
  <conditionalFormatting sqref="Y20">
    <cfRule type="expression" dxfId="476" priority="87" stopIfTrue="1">
      <formula>AF15="NO"</formula>
    </cfRule>
    <cfRule type="expression" dxfId="475" priority="88" stopIfTrue="1">
      <formula>(OR(H7="Early",H7="Mid",H7="Late"))</formula>
    </cfRule>
    <cfRule type="expression" dxfId="474" priority="89">
      <formula>AF16="NO"</formula>
    </cfRule>
  </conditionalFormatting>
  <conditionalFormatting sqref="AB20">
    <cfRule type="expression" dxfId="473" priority="84" stopIfTrue="1">
      <formula>AF15="NO"</formula>
    </cfRule>
    <cfRule type="expression" dxfId="472" priority="85" stopIfTrue="1">
      <formula>(OR(H7="Early",H7="Mid",H7="Late"))</formula>
    </cfRule>
    <cfRule type="expression" dxfId="471" priority="86">
      <formula>AF16="NO"</formula>
    </cfRule>
  </conditionalFormatting>
  <conditionalFormatting sqref="AA22">
    <cfRule type="expression" dxfId="470" priority="72">
      <formula>$AF$16="NO"</formula>
    </cfRule>
  </conditionalFormatting>
  <conditionalFormatting sqref="AD43:AD44">
    <cfRule type="expression" dxfId="469" priority="806">
      <formula>(AND(H7="Dry",AD15="YES",AD16="YES"))</formula>
    </cfRule>
  </conditionalFormatting>
  <conditionalFormatting sqref="AA92:AA93">
    <cfRule type="expression" dxfId="468" priority="13292" stopIfTrue="1">
      <formula>$AC$90="NO"</formula>
    </cfRule>
    <cfRule type="expression" dxfId="467" priority="13328" stopIfTrue="1">
      <formula>$K$71=0</formula>
    </cfRule>
  </conditionalFormatting>
  <conditionalFormatting sqref="AC53">
    <cfRule type="expression" dxfId="466" priority="13456" stopIfTrue="1">
      <formula>#REF!="NO"</formula>
    </cfRule>
  </conditionalFormatting>
  <conditionalFormatting sqref="O71">
    <cfRule type="expression" dxfId="465" priority="13404">
      <formula>$Q$34="NO"</formula>
    </cfRule>
  </conditionalFormatting>
  <conditionalFormatting sqref="BN72:BT72 AU73:CA73 BL72">
    <cfRule type="expression" dxfId="464" priority="13405">
      <formula>$Q$34="NO"</formula>
    </cfRule>
  </conditionalFormatting>
  <conditionalFormatting sqref="O40">
    <cfRule type="expression" dxfId="463" priority="11070" stopIfTrue="1">
      <formula>$Q$34="NO"</formula>
    </cfRule>
    <cfRule type="expression" dxfId="462" priority="13409" stopIfTrue="1">
      <formula>(OR($E$40="",$H$40=""))</formula>
    </cfRule>
  </conditionalFormatting>
  <conditionalFormatting sqref="O43">
    <cfRule type="expression" dxfId="461" priority="13410" stopIfTrue="1">
      <formula>$Q$34="NO"</formula>
    </cfRule>
    <cfRule type="expression" dxfId="460" priority="13411" stopIfTrue="1">
      <formula>(OR($E$43="",$H$43=""))</formula>
    </cfRule>
  </conditionalFormatting>
  <conditionalFormatting sqref="O46">
    <cfRule type="expression" dxfId="459" priority="13412" stopIfTrue="1">
      <formula>$Q$34="NO"</formula>
    </cfRule>
    <cfRule type="expression" dxfId="458" priority="13413" stopIfTrue="1">
      <formula>(OR($E$46="",$H$46=""))</formula>
    </cfRule>
  </conditionalFormatting>
  <conditionalFormatting sqref="O49">
    <cfRule type="expression" dxfId="457" priority="13414" stopIfTrue="1">
      <formula>$Q$34="NO"</formula>
    </cfRule>
    <cfRule type="expression" dxfId="456" priority="13415" stopIfTrue="1">
      <formula>(OR($E$49="",$H$49=""))</formula>
    </cfRule>
  </conditionalFormatting>
  <conditionalFormatting sqref="O52">
    <cfRule type="expression" dxfId="455" priority="13416" stopIfTrue="1">
      <formula>$Q$34="NO"</formula>
    </cfRule>
    <cfRule type="expression" dxfId="454" priority="13417" stopIfTrue="1">
      <formula>(OR($E$52="",$H$52=""))</formula>
    </cfRule>
  </conditionalFormatting>
  <conditionalFormatting sqref="O55">
    <cfRule type="expression" dxfId="453" priority="13418" stopIfTrue="1">
      <formula>$Q$34="NO"</formula>
    </cfRule>
    <cfRule type="expression" dxfId="452" priority="13419" stopIfTrue="1">
      <formula>(OR($E$55="",$H$55=""))</formula>
    </cfRule>
  </conditionalFormatting>
  <conditionalFormatting sqref="O58">
    <cfRule type="expression" dxfId="451" priority="13420" stopIfTrue="1">
      <formula>$Q$34="NO"</formula>
    </cfRule>
    <cfRule type="expression" dxfId="450" priority="13421" stopIfTrue="1">
      <formula>(OR($E$58="",$H$58=""))</formula>
    </cfRule>
  </conditionalFormatting>
  <conditionalFormatting sqref="O61">
    <cfRule type="expression" dxfId="449" priority="13422" stopIfTrue="1">
      <formula>$Q$34="NO"</formula>
    </cfRule>
    <cfRule type="expression" dxfId="448" priority="13423" stopIfTrue="1">
      <formula>(OR($E$61="",$H$61=""))</formula>
    </cfRule>
  </conditionalFormatting>
  <conditionalFormatting sqref="O64">
    <cfRule type="expression" dxfId="447" priority="13424" stopIfTrue="1">
      <formula>$Q$34="NO"</formula>
    </cfRule>
    <cfRule type="expression" dxfId="446" priority="13425" stopIfTrue="1">
      <formula>(OR($E$64="",$H$64=""))</formula>
    </cfRule>
  </conditionalFormatting>
  <conditionalFormatting sqref="O67">
    <cfRule type="expression" dxfId="445" priority="13426" stopIfTrue="1">
      <formula>$Q$34="NO"</formula>
    </cfRule>
    <cfRule type="expression" dxfId="444" priority="13427" stopIfTrue="1">
      <formula>(OR($E$67="",$H$67=""))</formula>
    </cfRule>
  </conditionalFormatting>
  <conditionalFormatting sqref="R40 AO40:AP40 AL40:AM40 R69">
    <cfRule type="expression" dxfId="443" priority="13428">
      <formula>$Q$34="NO"</formula>
    </cfRule>
    <cfRule type="expression" dxfId="442" priority="13429">
      <formula>#REF!=""</formula>
    </cfRule>
  </conditionalFormatting>
  <conditionalFormatting sqref="AD58">
    <cfRule type="expression" dxfId="441" priority="696" stopIfTrue="1">
      <formula>$Q$34="NO"</formula>
    </cfRule>
  </conditionalFormatting>
  <conditionalFormatting sqref="AC40:AC41">
    <cfRule type="expression" dxfId="440" priority="472" stopIfTrue="1">
      <formula>$Q$34="NO"</formula>
    </cfRule>
  </conditionalFormatting>
  <conditionalFormatting sqref="AC43">
    <cfRule type="expression" dxfId="439" priority="12392" stopIfTrue="1">
      <formula>$Q$34="NO"</formula>
    </cfRule>
  </conditionalFormatting>
  <conditionalFormatting sqref="AD39">
    <cfRule type="expression" dxfId="438" priority="13459" stopIfTrue="1">
      <formula>$Q$34="NO"</formula>
    </cfRule>
    <cfRule type="expression" dxfId="437" priority="13460">
      <formula>AND(H7="Dry",$AD$15="YES",AD16="YES")</formula>
    </cfRule>
  </conditionalFormatting>
  <conditionalFormatting sqref="AC86:AC87">
    <cfRule type="expression" dxfId="436" priority="13461" stopIfTrue="1">
      <formula>$Q$34="NO"</formula>
    </cfRule>
    <cfRule type="cellIs" dxfId="435" priority="13462" stopIfTrue="1" operator="equal">
      <formula>""</formula>
    </cfRule>
    <cfRule type="cellIs" dxfId="434" priority="13463" operator="notBetween">
      <formula>0.9*$X$84</formula>
      <formula>$X$86/0.9</formula>
    </cfRule>
  </conditionalFormatting>
  <conditionalFormatting sqref="AB39">
    <cfRule type="expression" dxfId="433" priority="13465">
      <formula>AND(H7="Dry",$AD$15="YES",AD16="YES")</formula>
    </cfRule>
  </conditionalFormatting>
  <conditionalFormatting sqref="AC81:AC82">
    <cfRule type="expression" dxfId="432" priority="13466" stopIfTrue="1">
      <formula>$AF$15="NO"</formula>
    </cfRule>
    <cfRule type="expression" dxfId="431" priority="13467" stopIfTrue="1">
      <formula>$Q$34="NO"</formula>
    </cfRule>
    <cfRule type="cellIs" dxfId="430" priority="13468" stopIfTrue="1" operator="equal">
      <formula>""</formula>
    </cfRule>
  </conditionalFormatting>
  <conditionalFormatting sqref="P69">
    <cfRule type="expression" dxfId="429" priority="13469">
      <formula>$Q$34="NO"</formula>
    </cfRule>
    <cfRule type="cellIs" dxfId="428" priority="13470" operator="greaterThan">
      <formula>0</formula>
    </cfRule>
    <cfRule type="expression" dxfId="427" priority="13471">
      <formula>#REF!+#REF!=1</formula>
    </cfRule>
  </conditionalFormatting>
  <conditionalFormatting sqref="AC92:AC93">
    <cfRule type="expression" dxfId="426" priority="13472" stopIfTrue="1">
      <formula>$Q$34="NO"</formula>
    </cfRule>
    <cfRule type="expression" dxfId="425" priority="13473" stopIfTrue="1">
      <formula>$O$71=0</formula>
    </cfRule>
  </conditionalFormatting>
  <conditionalFormatting sqref="AD79:AD80">
    <cfRule type="expression" dxfId="424" priority="56">
      <formula>Q34="NO"</formula>
    </cfRule>
  </conditionalFormatting>
  <conditionalFormatting sqref="AC43:AC44">
    <cfRule type="expression" dxfId="423" priority="310" stopIfTrue="1">
      <formula>(AND(H7="Dry",$AD$15="YES",AD16="YES"))</formula>
    </cfRule>
  </conditionalFormatting>
  <conditionalFormatting sqref="AC22">
    <cfRule type="expression" dxfId="422" priority="53">
      <formula>$AF$16="NO"</formula>
    </cfRule>
  </conditionalFormatting>
  <conditionalFormatting sqref="W22">
    <cfRule type="expression" dxfId="421" priority="52">
      <formula>$AF$16="NO"</formula>
    </cfRule>
  </conditionalFormatting>
  <conditionalFormatting sqref="I25">
    <cfRule type="expression" dxfId="420" priority="39">
      <formula>I24="NO"</formula>
    </cfRule>
  </conditionalFormatting>
  <conditionalFormatting sqref="AF26">
    <cfRule type="expression" dxfId="419" priority="26">
      <formula>$H$7="Dry"</formula>
    </cfRule>
  </conditionalFormatting>
  <conditionalFormatting sqref="AF28">
    <cfRule type="expression" dxfId="418" priority="25">
      <formula>$H$7="Dry"</formula>
    </cfRule>
  </conditionalFormatting>
  <conditionalFormatting sqref="AF30">
    <cfRule type="expression" dxfId="417" priority="24">
      <formula>$H$7="Dry"</formula>
    </cfRule>
  </conditionalFormatting>
  <conditionalFormatting sqref="K25:Q25">
    <cfRule type="expression" dxfId="416" priority="23">
      <formula>$I$25="NO"</formula>
    </cfRule>
  </conditionalFormatting>
  <conditionalFormatting sqref="C27:Q31">
    <cfRule type="expression" dxfId="415" priority="22">
      <formula>$I$25="NO"</formula>
    </cfRule>
  </conditionalFormatting>
  <conditionalFormatting sqref="C26">
    <cfRule type="expression" dxfId="414" priority="21">
      <formula>$I$25="NO"</formula>
    </cfRule>
  </conditionalFormatting>
  <conditionalFormatting sqref="J27:Q31">
    <cfRule type="expression" dxfId="413" priority="20">
      <formula>$Q$25="NO"</formula>
    </cfRule>
  </conditionalFormatting>
  <conditionalFormatting sqref="AA40:AA41">
    <cfRule type="expression" dxfId="412" priority="197" stopIfTrue="1">
      <formula>(AND(H7="Dry",AD$15="YES",AD16="YES"))</formula>
    </cfRule>
    <cfRule type="expression" dxfId="411" priority="317" stopIfTrue="1">
      <formula>$AB$40&lt;-0.5</formula>
    </cfRule>
    <cfRule type="expression" dxfId="410" priority="320" stopIfTrue="1">
      <formula>$AB$40&gt;0.5</formula>
    </cfRule>
    <cfRule type="cellIs" dxfId="409" priority="321" stopIfTrue="1" operator="equal">
      <formula>""</formula>
    </cfRule>
  </conditionalFormatting>
  <conditionalFormatting sqref="K43">
    <cfRule type="expression" dxfId="408" priority="17">
      <formula>(OR($E$46="",$H$46=""))</formula>
    </cfRule>
    <cfRule type="cellIs" dxfId="407" priority="18" operator="greaterThan">
      <formula>0</formula>
    </cfRule>
  </conditionalFormatting>
  <conditionalFormatting sqref="K43:K44">
    <cfRule type="expression" dxfId="406" priority="19">
      <formula>$C$46="Minerals"</formula>
    </cfRule>
  </conditionalFormatting>
  <conditionalFormatting sqref="K61">
    <cfRule type="expression" dxfId="405" priority="14">
      <formula>(OR($E$58="",$H$58=""))</formula>
    </cfRule>
    <cfRule type="cellIs" dxfId="404" priority="15" operator="greaterThan">
      <formula>0</formula>
    </cfRule>
  </conditionalFormatting>
  <conditionalFormatting sqref="K61">
    <cfRule type="expression" dxfId="403" priority="16">
      <formula>$C$58="Minerals"</formula>
    </cfRule>
  </conditionalFormatting>
  <conditionalFormatting sqref="AN43:AN44">
    <cfRule type="expression" dxfId="402" priority="13507">
      <formula>(AND($AK$43&gt;0,$K$43&gt;0))</formula>
    </cfRule>
  </conditionalFormatting>
  <conditionalFormatting sqref="AN49:AN50">
    <cfRule type="expression" dxfId="401" priority="13508">
      <formula>(AND($AK$49&gt;0,$K$49&gt;0))</formula>
    </cfRule>
  </conditionalFormatting>
  <conditionalFormatting sqref="AN52:AN53">
    <cfRule type="expression" dxfId="400" priority="13509">
      <formula>(AND($AK$52&gt;0,$K$52&gt;0))</formula>
    </cfRule>
  </conditionalFormatting>
  <conditionalFormatting sqref="AN55:AN56">
    <cfRule type="expression" dxfId="399" priority="13510">
      <formula>(AND($AK$55&gt;0,$K$55&gt;0))</formula>
    </cfRule>
  </conditionalFormatting>
  <conditionalFormatting sqref="AN58:AN59 AN61:AN62">
    <cfRule type="expression" dxfId="398" priority="13511">
      <formula>(AND($AK$58&gt;0,$K$58&gt;0))</formula>
    </cfRule>
  </conditionalFormatting>
  <conditionalFormatting sqref="AN64:AN65">
    <cfRule type="expression" dxfId="397" priority="13513">
      <formula>(AND($AK$64&gt;0,$K$64&gt;0))</formula>
    </cfRule>
  </conditionalFormatting>
  <conditionalFormatting sqref="AN67:AN68">
    <cfRule type="expression" dxfId="396" priority="13514">
      <formula>(AND($AK$67&gt;0,$K$67&gt;0))</formula>
    </cfRule>
  </conditionalFormatting>
  <conditionalFormatting sqref="AQ43:AQ44">
    <cfRule type="expression" dxfId="395" priority="13515">
      <formula>(AND($AK$43&gt;0,$O$43&gt;0))</formula>
    </cfRule>
  </conditionalFormatting>
  <conditionalFormatting sqref="AQ46:AQ47">
    <cfRule type="expression" dxfId="394" priority="13516">
      <formula>(AND($AK$46&gt;0,$O$46&gt;0))</formula>
    </cfRule>
  </conditionalFormatting>
  <conditionalFormatting sqref="AQ49:AQ50">
    <cfRule type="expression" dxfId="393" priority="13517">
      <formula>(AND($AK$49&gt;0,$O$49&gt;0))</formula>
    </cfRule>
  </conditionalFormatting>
  <conditionalFormatting sqref="AQ52:AQ53">
    <cfRule type="expression" dxfId="392" priority="13518">
      <formula>(AND($AK$52&gt;0,$O$52&gt;0))</formula>
    </cfRule>
  </conditionalFormatting>
  <conditionalFormatting sqref="AQ55:AQ56">
    <cfRule type="expression" dxfId="391" priority="13519">
      <formula>(AND($AK$55&gt;0,$O$55&gt;0))</formula>
    </cfRule>
  </conditionalFormatting>
  <conditionalFormatting sqref="AQ58:AQ59">
    <cfRule type="expression" dxfId="390" priority="13520">
      <formula>(AND($AK$58&gt;0,$O$58&gt;0))</formula>
    </cfRule>
  </conditionalFormatting>
  <conditionalFormatting sqref="AQ61:AQ62">
    <cfRule type="expression" dxfId="389" priority="13521">
      <formula>(AND($AK$61&gt;0,$O$61&gt;0))</formula>
    </cfRule>
  </conditionalFormatting>
  <conditionalFormatting sqref="AQ64:AQ65">
    <cfRule type="expression" dxfId="388" priority="13522">
      <formula>(AND($AK$64&gt;0,$O$64&gt;0))</formula>
    </cfRule>
  </conditionalFormatting>
  <conditionalFormatting sqref="AQ67:AQ68">
    <cfRule type="expression" dxfId="387" priority="13523">
      <formula>(AND($AK$67&gt;0,$O$67&gt;0))</formula>
    </cfRule>
  </conditionalFormatting>
  <conditionalFormatting sqref="AN46:AN47">
    <cfRule type="expression" dxfId="386" priority="13524">
      <formula>(AND($AK46&gt;0,$K46&gt;0))</formula>
    </cfRule>
  </conditionalFormatting>
  <conditionalFormatting sqref="AC21">
    <cfRule type="expression" dxfId="385" priority="13525" stopIfTrue="1">
      <formula>AF16="NO"</formula>
    </cfRule>
    <cfRule type="expression" dxfId="384" priority="13526" stopIfTrue="1">
      <formula>(OR(H7="Early",H7="Mid",H7="Late"))</formula>
    </cfRule>
    <cfRule type="expression" dxfId="383" priority="13527" stopIfTrue="1">
      <formula>Q34="NO"</formula>
    </cfRule>
    <cfRule type="expression" dxfId="382" priority="13528">
      <formula>AD21=""</formula>
    </cfRule>
    <cfRule type="expression" dxfId="381" priority="13529" stopIfTrue="1">
      <formula>AF15="NO"</formula>
    </cfRule>
    <cfRule type="expression" dxfId="380" priority="13530" stopIfTrue="1">
      <formula>AD21&lt;-0.5</formula>
    </cfRule>
    <cfRule type="expression" dxfId="379" priority="13531">
      <formula>AD21&gt;0.5</formula>
    </cfRule>
  </conditionalFormatting>
  <conditionalFormatting sqref="AD21">
    <cfRule type="expression" dxfId="378" priority="13532" stopIfTrue="1">
      <formula>Q34="NO"</formula>
    </cfRule>
    <cfRule type="expression" dxfId="377" priority="13533" stopIfTrue="1">
      <formula>AF15="NO"</formula>
    </cfRule>
    <cfRule type="expression" dxfId="376" priority="13534" stopIfTrue="1">
      <formula>(OR(H7="Early",H7="Mid",H7="Late"))</formula>
    </cfRule>
    <cfRule type="expression" dxfId="375" priority="13535">
      <formula>AF16="NO"</formula>
    </cfRule>
  </conditionalFormatting>
  <conditionalFormatting sqref="AC23">
    <cfRule type="expression" dxfId="374" priority="13536" stopIfTrue="1">
      <formula>AF16="NO"</formula>
    </cfRule>
    <cfRule type="expression" dxfId="373" priority="13537" stopIfTrue="1">
      <formula>(OR(H7="Early",H7="Mid",H7="Late"))</formula>
    </cfRule>
    <cfRule type="expression" dxfId="372" priority="13538" stopIfTrue="1">
      <formula>Q34="NO"</formula>
    </cfRule>
    <cfRule type="expression" dxfId="371" priority="13539">
      <formula>AD23=""</formula>
    </cfRule>
    <cfRule type="expression" dxfId="370" priority="13540" stopIfTrue="1">
      <formula>AF15="NO"</formula>
    </cfRule>
    <cfRule type="expression" dxfId="369" priority="13541" stopIfTrue="1">
      <formula>AD23&lt;(-0.5*AC22)</formula>
    </cfRule>
    <cfRule type="expression" dxfId="368" priority="13542">
      <formula>AD23&gt;(0.5*AC22)</formula>
    </cfRule>
  </conditionalFormatting>
  <conditionalFormatting sqref="AD23">
    <cfRule type="expression" dxfId="367" priority="13543" stopIfTrue="1">
      <formula>Q34="NO"</formula>
    </cfRule>
    <cfRule type="expression" dxfId="366" priority="13544" stopIfTrue="1">
      <formula>AF15="NO"</formula>
    </cfRule>
    <cfRule type="expression" dxfId="365" priority="13545" stopIfTrue="1">
      <formula>(OR(H7="Early",H7="Mid",H7="Late"))</formula>
    </cfRule>
    <cfRule type="expression" dxfId="364" priority="13546">
      <formula>AF16="NO"</formula>
    </cfRule>
  </conditionalFormatting>
  <conditionalFormatting sqref="AD20">
    <cfRule type="expression" dxfId="363" priority="13547">
      <formula>AD21=""</formula>
    </cfRule>
    <cfRule type="expression" dxfId="362" priority="13548" stopIfTrue="1">
      <formula>Q34="NO"</formula>
    </cfRule>
    <cfRule type="expression" dxfId="361" priority="13549" stopIfTrue="1">
      <formula>AF15="NO"</formula>
    </cfRule>
    <cfRule type="expression" dxfId="360" priority="13550" stopIfTrue="1">
      <formula>(OR(H7="Early",H7="Mid",H7="Late"))</formula>
    </cfRule>
    <cfRule type="expression" dxfId="359" priority="13551">
      <formula>AF16="NO"</formula>
    </cfRule>
  </conditionalFormatting>
  <conditionalFormatting sqref="AP79">
    <cfRule type="expression" dxfId="358" priority="13560">
      <formula>$Q$34="NO"</formula>
    </cfRule>
    <cfRule type="expression" dxfId="357" priority="13561">
      <formula>$AN$33="NO"</formula>
    </cfRule>
  </conditionalFormatting>
  <conditionalFormatting sqref="BZ44">
    <cfRule type="cellIs" dxfId="356" priority="9" operator="equal">
      <formula>0</formula>
    </cfRule>
  </conditionalFormatting>
  <conditionalFormatting sqref="BZ47">
    <cfRule type="cellIs" dxfId="355" priority="8" operator="equal">
      <formula>0</formula>
    </cfRule>
  </conditionalFormatting>
  <conditionalFormatting sqref="BZ50">
    <cfRule type="cellIs" dxfId="354" priority="7" operator="equal">
      <formula>0</formula>
    </cfRule>
  </conditionalFormatting>
  <conditionalFormatting sqref="BZ53">
    <cfRule type="cellIs" dxfId="353" priority="6" operator="equal">
      <formula>0</formula>
    </cfRule>
  </conditionalFormatting>
  <conditionalFormatting sqref="BZ56">
    <cfRule type="cellIs" dxfId="352" priority="5" operator="equal">
      <formula>0</formula>
    </cfRule>
  </conditionalFormatting>
  <conditionalFormatting sqref="BZ59">
    <cfRule type="cellIs" dxfId="351" priority="4" operator="equal">
      <formula>0</formula>
    </cfRule>
  </conditionalFormatting>
  <conditionalFormatting sqref="BZ62">
    <cfRule type="cellIs" dxfId="350" priority="3" operator="equal">
      <formula>0</formula>
    </cfRule>
  </conditionalFormatting>
  <conditionalFormatting sqref="BZ65">
    <cfRule type="cellIs" dxfId="349" priority="2" operator="equal">
      <formula>0</formula>
    </cfRule>
  </conditionalFormatting>
  <conditionalFormatting sqref="BZ68">
    <cfRule type="cellIs" dxfId="348" priority="1" operator="equal">
      <formula>0</formula>
    </cfRule>
  </conditionalFormatting>
  <conditionalFormatting sqref="BZ43 BZ46 BZ49 BZ52 BZ55 BZ58 BZ64 BZ67 BZ61">
    <cfRule type="expression" dxfId="347" priority="10">
      <formula>$AN$33="NO"</formula>
    </cfRule>
    <cfRule type="cellIs" dxfId="346" priority="11" operator="equal">
      <formula>0</formula>
    </cfRule>
    <cfRule type="expression" dxfId="345" priority="12">
      <formula>$BY$43=0</formula>
    </cfRule>
  </conditionalFormatting>
  <conditionalFormatting sqref="BZ44 BZ50 BZ53 BZ56 BZ59 BZ62 BZ65 BZ68 BZ47">
    <cfRule type="expression" dxfId="344" priority="13" stopIfTrue="1">
      <formula>$AN$33="NO"</formula>
    </cfRule>
  </conditionalFormatting>
  <dataValidations xWindow="1482" yWindow="731" count="46">
    <dataValidation allowBlank="1" showErrorMessage="1" sqref="BX72 BZ72:BZ73" xr:uid="{00000000-0002-0000-0100-000000000000}"/>
    <dataValidation type="list" allowBlank="1" showInputMessage="1" showErrorMessage="1" sqref="E43:F44" xr:uid="{00000000-0002-0000-0100-000002000000}">
      <formula1>INDIRECT($C$43)</formula1>
    </dataValidation>
    <dataValidation type="list" allowBlank="1" showInputMessage="1" showErrorMessage="1" sqref="E69:F69" xr:uid="{00000000-0002-0000-0100-000007000000}">
      <formula1>INDIRECT(++$C$67)</formula1>
    </dataValidation>
    <dataValidation type="list" allowBlank="1" showInputMessage="1" showErrorMessage="1" sqref="H69:I69" xr:uid="{00000000-0002-0000-0100-000008000000}">
      <formula1>INDIRECT($D69)</formula1>
    </dataValidation>
    <dataValidation allowBlank="1" showInputMessage="1" showErrorMessage="1" promptTitle="Minerals" prompt="Minerals dosage according suppliers instructions for wach to feeding method " sqref="D69" xr:uid="{00000000-0002-0000-0100-000009000000}"/>
    <dataValidation allowBlank="1" showInputMessage="1" showErrorMessage="1" prompt="Warning: Dry matter intake is less than required" sqref="AZ16" xr:uid="{00000000-0002-0000-0100-00000A000000}"/>
    <dataValidation allowBlank="1" showInputMessage="1" showErrorMessage="1" prompt="Warning: Protein levels are below recommended values; however, consider costs and benefits before adding additional protein" sqref="AB46 AD46" xr:uid="{00000000-0002-0000-0100-00000B000000}"/>
    <dataValidation allowBlank="1" showInputMessage="1" showErrorMessage="1" prompt="Warning: Neutral detergent fibre levels are below recommended value. Add more fibre to the diet (e.g. silage/pasture) or reduce starch based supplements" sqref="AD49" xr:uid="{00000000-0002-0000-0100-00000C000000}"/>
    <dataValidation allowBlank="1" showInputMessage="1" showErrorMessage="1" prompt="Warning: Soluble sugar and starch levels are greater than recommended. Reduce supplements high in starch or sugars (e.g. barley/maize grain)" sqref="AB52 AD52" xr:uid="{00000000-0002-0000-0100-00000D000000}"/>
    <dataValidation allowBlank="1" showInputMessage="1" showErrorMessage="1" prompt="Warning: Starch levels in the diet are greater than reccomended. Reduce supplements that are high in starch (e.g. barley or wheat)" sqref="AB55 AD55" xr:uid="{00000000-0002-0000-0100-00000E000000}"/>
    <dataValidation allowBlank="1" showInputMessage="1" showErrorMessage="1" prompt="Warning: Fat levels in the diet are greater than reccomended. Reduce feeds high in unsaturated fats (e.g. sunflower oil)" sqref="AB58 AD58" xr:uid="{00000000-0002-0000-0100-00000F000000}"/>
    <dataValidation allowBlank="1" showInputMessage="1" showErrorMessage="1" prompt="$/tonne wet weight for all feeds except hay/silages and forages. " sqref="AK40" xr:uid="{00000000-0002-0000-0100-000010000000}"/>
    <dataValidation allowBlank="1" showInputMessage="1" showErrorMessage="1" promptTitle="Hay &amp; Silage" prompt="Indicative bales/tonne:  Small hay bales = 40-55/t, Round hay bales =3.3-5.5/t, Silage bales = ~2.0/t" sqref="C73" xr:uid="{00000000-0002-0000-0100-000011000000}"/>
    <dataValidation allowBlank="1" showInputMessage="1" showErrorMessage="1" promptTitle="Transition cows" prompt="Ca value should be below 0.5 OR above 2.0" sqref="Z79" xr:uid="{00000000-0002-0000-0100-000013000000}"/>
    <dataValidation allowBlank="1" showInputMessage="1" showErrorMessage="1" promptTitle="Minerals" prompt="Consider feeding method when allocating minerals. If minerals add to feed or applied to pasture, take account of feed utilisation values for each feeding method. If added to water, 100% utilisation is assumed and dosage is as per suppliers recommendations" sqref="D46 D43" xr:uid="{00000000-0002-0000-0100-000014000000}"/>
    <dataValidation allowBlank="1" showInputMessage="1" showErrorMessage="1" prompt="Check mob inputs as DMI is greater than realistic values" sqref="AY14" xr:uid="{00000000-0002-0000-0100-000015000000}"/>
    <dataValidation allowBlank="1" showInputMessage="1" showErrorMessage="1" prompt="Warning: Neutral detergent fibre levels are either below or above recommended values. If low, add more fibre to the diet (e.g. silage/pasture) or reduce starch based supplements. If high, reduce fibre in the diet." sqref="AB49" xr:uid="{00000000-0002-0000-0100-000016000000}"/>
    <dataValidation allowBlank="1" showInputMessage="1" showErrorMessage="1" promptTitle="Minerals" prompt="For simplicity, utlisation is taken as 100%. For in-feed and on-paddock applications, adjust the amount offered to take account of the feeding method utilisation rate. If added to water, dosage is as per suppliers recommendations." sqref="C70:I70" xr:uid="{00000000-0002-0000-0100-00001A000000}"/>
    <dataValidation allowBlank="1" showInputMessage="1" showErrorMessage="1" prompt="Enter a date to calculate feed requirements at an earlier or later stage of lactation. Check that you are using the correct year for PSC." sqref="Q3" xr:uid="{00000000-0002-0000-0100-00001B000000}"/>
    <dataValidation allowBlank="1" showInputMessage="1" showErrorMessage="1" promptTitle="Transition cows" prompt="P value should be between 0.25 and 0.45" sqref="Z84" xr:uid="{00000000-0002-0000-0100-00001C000000}"/>
    <dataValidation allowBlank="1" showInputMessage="1" showErrorMessage="1" prompt="If herd/mob inputs are incomplete, reccommended values for the diet won't show in FeedChecker." sqref="AC12" xr:uid="{00000000-0002-0000-0100-00001D000000}"/>
    <dataValidation allowBlank="1" showInputMessage="1" showErrorMessage="1" promptTitle="PKE" prompt="Check FEI" sqref="C71:C72" xr:uid="{00000000-0002-0000-0100-000027000000}"/>
    <dataValidation allowBlank="1" showInputMessage="1" showErrorMessage="1" prompt="Check FEI" sqref="R43 R64 R46 R49 R52 R55 R58 R61 R67" xr:uid="{00000000-0002-0000-0100-000028000000}"/>
    <dataValidation allowBlank="1" showInputMessage="1" showErrorMessage="1" promptTitle="Minerals" prompt="Consider feeding method when allocating minerals and take account of feed utilisation values for each feeding method. If added to water, 100% utilisation is assumed and dosage is as per suppliers recommendations. " sqref="D49 D52 D55 D58 D61 D64 D67" xr:uid="{00000000-0002-0000-0100-000029000000}"/>
    <dataValidation allowBlank="1" showInputMessage="1" showErrorMessage="1" promptTitle="Typical BCS mthly change ranges" prompt="Early: -0.2 to -0.8,   Mid: -0.3 to 0.3,   Late: 0 to 0.5,   Dry: 0 to 0.6" sqref="I9" xr:uid="{00000000-0002-0000-0100-00002A000000}"/>
    <dataValidation allowBlank="1" showInputMessage="1" showErrorMessage="1" promptTitle="Post colostrum period" prompt="The recommended value is the theoretical amount of calcium required by the cow. However, after the colostrum period, cows also use their own readily available stores of calcium so do not require this level from the diet." sqref="AB79:AB80 AD79:AD80" xr:uid="{00000000-0002-0000-0100-00002B000000}"/>
    <dataValidation allowBlank="1" showInputMessage="1" showErrorMessage="1" promptTitle="Transition cows" prompt="For milk fever benefits, DCAD needs to be &lt;0 and closer to -10mEq/100g DM.  If pasture makes up a large portion of the diet, it is virtually impossible to lower DCAD to &lt;0. " sqref="Z92:Z93" xr:uid="{00000000-0002-0000-0100-00002C000000}"/>
    <dataValidation type="list" allowBlank="1" showInputMessage="1" showErrorMessage="1" sqref="E49:F50" xr:uid="{82CECEE2-FF6F-4D11-8FEA-F1DB2A5EBFD2}">
      <formula1>INDIRECT($C$49)</formula1>
    </dataValidation>
    <dataValidation type="list" allowBlank="1" showInputMessage="1" showErrorMessage="1" sqref="E52:F53" xr:uid="{C54E822B-252B-431E-8165-EFFF0DF40B2D}">
      <formula1>INDIRECT($C$52)</formula1>
    </dataValidation>
    <dataValidation type="list" allowBlank="1" showInputMessage="1" showErrorMessage="1" sqref="E55:F56" xr:uid="{535D9EA4-9D98-4D48-A184-77464A2D062F}">
      <formula1>INDIRECT($C$55)</formula1>
    </dataValidation>
    <dataValidation type="list" allowBlank="1" showInputMessage="1" showErrorMessage="1" sqref="E58:F59" xr:uid="{77540192-E050-42EA-B3EB-ECB9F8AEDDF4}">
      <formula1>INDIRECT($C$58)</formula1>
    </dataValidation>
    <dataValidation type="list" allowBlank="1" showInputMessage="1" showErrorMessage="1" sqref="E61:F62" xr:uid="{4416D932-884B-4115-957A-0EFB04EFBC32}">
      <formula1>INDIRECT($C$61)</formula1>
    </dataValidation>
    <dataValidation type="list" allowBlank="1" showInputMessage="1" showErrorMessage="1" sqref="E64:F65" xr:uid="{D0AB43C2-A7E3-46C7-B4CC-4CA9B1970168}">
      <formula1>INDIRECT($C$64)</formula1>
    </dataValidation>
    <dataValidation type="list" allowBlank="1" showInputMessage="1" showErrorMessage="1" sqref="E67:F68" xr:uid="{3F6C760E-5926-4B97-8984-099A51726EED}">
      <formula1>INDIRECT($C$67)</formula1>
    </dataValidation>
    <dataValidation type="list" allowBlank="1" showInputMessage="1" showErrorMessage="1" sqref="E46:F47" xr:uid="{DBA74E8E-720D-4708-8C1C-39C010B36247}">
      <formula1>INDIRECT($C$46)</formula1>
    </dataValidation>
    <dataValidation allowBlank="1" showInputMessage="1" showErrorMessage="1" prompt="Recommendations for feed face are 1m per cow until fully transitioned, then 0.7m per cow" sqref="F29" xr:uid="{FE37BCB8-50B5-4C23-AD8D-D31676DF1661}"/>
    <dataValidation type="list" allowBlank="1" showInputMessage="1" showErrorMessage="1" sqref="H43:I44" xr:uid="{00000000-0002-0000-0100-000020000000}">
      <formula1>INDIRECT($AF$43)</formula1>
    </dataValidation>
    <dataValidation type="list" allowBlank="1" showInputMessage="1" showErrorMessage="1" sqref="H46:I47" xr:uid="{00000000-0002-0000-0100-000021000000}">
      <formula1>INDIRECT($AF$46)</formula1>
    </dataValidation>
    <dataValidation type="list" allowBlank="1" showInputMessage="1" showErrorMessage="1" sqref="H49:I50" xr:uid="{00000000-0002-0000-0100-000022000000}">
      <formula1>INDIRECT($AF$49)</formula1>
    </dataValidation>
    <dataValidation type="list" allowBlank="1" showInputMessage="1" showErrorMessage="1" sqref="H52:I53" xr:uid="{00000000-0002-0000-0100-000023000000}">
      <formula1>INDIRECT($AF$52)</formula1>
    </dataValidation>
    <dataValidation type="list" allowBlank="1" showInputMessage="1" showErrorMessage="1" sqref="H55:I56" xr:uid="{00000000-0002-0000-0100-000024000000}">
      <formula1>INDIRECT($AF$55)</formula1>
    </dataValidation>
    <dataValidation type="list" allowBlank="1" showInputMessage="1" showErrorMessage="1" sqref="H58:I59" xr:uid="{00000000-0002-0000-0100-000025000000}">
      <formula1>INDIRECT($AF$58)</formula1>
    </dataValidation>
    <dataValidation type="list" allowBlank="1" showInputMessage="1" showErrorMessage="1" sqref="H61:I62" xr:uid="{00000000-0002-0000-0100-000026000000}">
      <formula1>INDIRECT($AF$61)</formula1>
    </dataValidation>
    <dataValidation type="list" allowBlank="1" showInputMessage="1" showErrorMessage="1" sqref="H64:I65" xr:uid="{00000000-0002-0000-0100-00001F000000}">
      <formula1>INDIRECT($AF$64)</formula1>
    </dataValidation>
    <dataValidation type="list" allowBlank="1" showInputMessage="1" showErrorMessage="1" sqref="H67:I68" xr:uid="{00000000-0002-0000-0100-00001E000000}">
      <formula1>INDIRECT($AF$67)</formula1>
    </dataValidation>
    <dataValidation type="list" allowBlank="1" showInputMessage="1" showErrorMessage="1" sqref="AN33 Q25 O25 I25 AD15:AD16 AC89 I32 Q34" xr:uid="{00000000-0002-0000-0100-000012000000}">
      <formula1>$CI$25:$CI$26</formula1>
    </dataValidation>
  </dataValidations>
  <pageMargins left="0.25" right="0.25" top="0.75" bottom="0.75" header="0.3" footer="0.3"/>
  <pageSetup paperSize="9" scale="10" orientation="landscape" r:id="rId1"/>
  <legacyDrawing r:id="rId2"/>
  <extLst>
    <ext xmlns:x14="http://schemas.microsoft.com/office/spreadsheetml/2009/9/main" uri="{CCE6A557-97BC-4b89-ADB6-D9C93CAAB3DF}">
      <x14:dataValidations xmlns:xm="http://schemas.microsoft.com/office/excel/2006/main" xWindow="1482" yWindow="731" count="9">
        <x14:dataValidation type="list" allowBlank="1" showInputMessage="1" showErrorMessage="1" xr:uid="{00000000-0002-0000-0100-00002D000000}">
          <x14:formula1>
            <xm:f>'Data source'!$B$238:$B$248</xm:f>
          </x14:formula1>
          <xm:sqref>H9</xm:sqref>
        </x14:dataValidation>
        <x14:dataValidation type="list" allowBlank="1" showInputMessage="1" showErrorMessage="1" xr:uid="{00000000-0002-0000-0100-00002E000000}">
          <x14:formula1>
            <xm:f>'Data source'!$B$202:$B$205</xm:f>
          </x14:formula1>
          <xm:sqref>H6</xm:sqref>
        </x14:dataValidation>
        <x14:dataValidation type="list" allowBlank="1" showInputMessage="1" showErrorMessage="1" xr:uid="{00000000-0002-0000-0100-00002F000000}">
          <x14:formula1>
            <xm:f>'Data source'!$B$251:$B$254</xm:f>
          </x14:formula1>
          <xm:sqref>H7</xm:sqref>
        </x14:dataValidation>
        <x14:dataValidation type="list" allowBlank="1" showInputMessage="1" showErrorMessage="1" xr:uid="{00000000-0002-0000-0100-000030000000}">
          <x14:formula1>
            <xm:f>'Data source'!$B$189:$B$199</xm:f>
          </x14:formula1>
          <xm:sqref>H8</xm:sqref>
        </x14:dataValidation>
        <x14:dataValidation type="list" allowBlank="1" showInputMessage="1" showErrorMessage="1" xr:uid="{00000000-0002-0000-0100-000031000000}">
          <x14:formula1>
            <xm:f>'Data source'!$B$208:$B$211</xm:f>
          </x14:formula1>
          <xm:sqref>O8</xm:sqref>
        </x14:dataValidation>
        <x14:dataValidation type="list" allowBlank="1" showInputMessage="1" showErrorMessage="1" xr:uid="{00000000-0002-0000-0100-000032000000}">
          <x14:formula1>
            <xm:f>'Drop down list set up'!$C$19:$C$22</xm:f>
          </x14:formula1>
          <xm:sqref>H40:I41</xm:sqref>
        </x14:dataValidation>
        <x14:dataValidation type="list" allowBlank="1" showInputMessage="1" showErrorMessage="1" xr:uid="{00000000-0002-0000-0100-000033000000}">
          <x14:formula1>
            <xm:f>'Data source'!$B$3:$B$14</xm:f>
          </x14:formula1>
          <xm:sqref>E15</xm:sqref>
        </x14:dataValidation>
        <x14:dataValidation type="list" allowBlank="1" showInputMessage="1" showErrorMessage="1" xr:uid="{47921EC2-9641-4E69-8D6B-B78BE3ED5789}">
          <x14:formula1>
            <xm:f>'Drop down list set up'!$A$6:$A$13</xm:f>
          </x14:formula1>
          <xm:sqref>C67:C68 C46:C47 C49:C50 C52:C53 C55:C56 C58:C59 C64:C65 C61:C62 C43:C44</xm:sqref>
        </x14:dataValidation>
        <x14:dataValidation type="list" allowBlank="1" showInputMessage="1" showErrorMessage="1" xr:uid="{F110608C-9901-4877-8944-609614F00AA4}">
          <x14:formula1>
            <xm:f>'CUSTOM FEED SET-UP'!$B$5:$B$12</xm:f>
          </x14:formula1>
          <xm:sqref>M28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48"/>
  <sheetViews>
    <sheetView zoomScaleNormal="100" workbookViewId="0">
      <selection activeCell="J42" sqref="J42"/>
    </sheetView>
  </sheetViews>
  <sheetFormatPr defaultRowHeight="14.4"/>
  <cols>
    <col min="1" max="1" width="23.88671875" customWidth="1"/>
    <col min="2" max="2" width="24.5546875" customWidth="1"/>
    <col min="3" max="3" width="8.88671875" style="3" customWidth="1"/>
    <col min="4" max="4" width="8.5546875" style="3" customWidth="1"/>
    <col min="7" max="7" width="9.5546875" customWidth="1"/>
    <col min="13" max="15" width="9.109375" customWidth="1"/>
    <col min="24" max="24" width="0" hidden="1" customWidth="1"/>
  </cols>
  <sheetData>
    <row r="1" spans="1:24">
      <c r="A1" s="7"/>
      <c r="B1" s="7"/>
      <c r="C1" s="129" t="s">
        <v>617</v>
      </c>
      <c r="D1" s="129" t="s">
        <v>553</v>
      </c>
      <c r="E1" s="7"/>
      <c r="F1" s="7"/>
      <c r="G1" s="7"/>
      <c r="H1" s="7"/>
      <c r="I1" s="7"/>
      <c r="J1" s="7"/>
      <c r="K1" s="7"/>
      <c r="L1" s="7"/>
      <c r="M1" s="7"/>
      <c r="N1" s="7"/>
      <c r="O1" s="7"/>
      <c r="P1" s="7"/>
      <c r="Q1" s="7"/>
      <c r="R1" s="7"/>
      <c r="S1" s="7"/>
      <c r="T1" s="7"/>
      <c r="U1" s="7"/>
      <c r="V1" s="7"/>
      <c r="W1" s="7"/>
    </row>
    <row r="2" spans="1:24" ht="15" thickBot="1">
      <c r="A2" s="1551" t="s">
        <v>631</v>
      </c>
      <c r="B2" s="1591" t="s">
        <v>620</v>
      </c>
      <c r="C2" s="1591"/>
      <c r="D2" s="1591"/>
      <c r="E2" s="1645" t="s">
        <v>649</v>
      </c>
      <c r="G2" s="7"/>
      <c r="H2" s="7"/>
      <c r="I2" s="7"/>
      <c r="J2" s="7"/>
      <c r="K2" s="7"/>
      <c r="L2" s="7"/>
      <c r="M2" s="7"/>
      <c r="N2" s="7"/>
      <c r="O2" s="7"/>
      <c r="P2" s="7"/>
      <c r="Q2" s="7"/>
      <c r="R2" s="7"/>
      <c r="S2" s="7"/>
      <c r="T2" s="7"/>
      <c r="U2" s="7"/>
      <c r="V2" s="7"/>
      <c r="W2" s="7"/>
    </row>
    <row r="3" spans="1:24" ht="15" hidden="1" thickBot="1">
      <c r="A3" s="885" t="s">
        <v>627</v>
      </c>
      <c r="B3" s="7"/>
      <c r="C3" s="8"/>
      <c r="D3" s="8"/>
      <c r="E3" s="1636" t="s">
        <v>123</v>
      </c>
      <c r="F3" s="1636" t="s">
        <v>7</v>
      </c>
      <c r="G3" s="1636" t="s">
        <v>1</v>
      </c>
      <c r="H3" s="1636" t="s">
        <v>10</v>
      </c>
      <c r="I3" s="1636" t="s">
        <v>12</v>
      </c>
      <c r="J3" s="1636" t="s">
        <v>13</v>
      </c>
      <c r="K3" s="1636" t="s">
        <v>29</v>
      </c>
      <c r="L3" s="1636" t="s">
        <v>31</v>
      </c>
      <c r="M3" s="1636" t="s">
        <v>93</v>
      </c>
      <c r="N3" s="1636" t="s">
        <v>91</v>
      </c>
      <c r="O3" s="1636" t="s">
        <v>92</v>
      </c>
      <c r="P3" s="1636" t="s">
        <v>256</v>
      </c>
      <c r="Q3" s="1636" t="s">
        <v>258</v>
      </c>
      <c r="R3" s="1636" t="s">
        <v>259</v>
      </c>
      <c r="S3" s="1636" t="s">
        <v>260</v>
      </c>
      <c r="T3" s="1636" t="s">
        <v>261</v>
      </c>
      <c r="U3" s="1636" t="s">
        <v>262</v>
      </c>
      <c r="V3" s="1637" t="s">
        <v>263</v>
      </c>
      <c r="W3" s="7"/>
      <c r="X3" s="7"/>
    </row>
    <row r="4" spans="1:24" ht="15" hidden="1" thickBot="1">
      <c r="A4" s="1616"/>
      <c r="B4" s="1617" t="s">
        <v>639</v>
      </c>
      <c r="C4" s="1618" t="s">
        <v>617</v>
      </c>
      <c r="D4" s="1618" t="s">
        <v>553</v>
      </c>
      <c r="E4" s="1639" t="s">
        <v>124</v>
      </c>
      <c r="F4" s="1638" t="s">
        <v>8</v>
      </c>
      <c r="G4" s="1639" t="s">
        <v>619</v>
      </c>
      <c r="H4" s="1639" t="s">
        <v>257</v>
      </c>
      <c r="I4" s="1639" t="s">
        <v>257</v>
      </c>
      <c r="J4" s="1639" t="s">
        <v>257</v>
      </c>
      <c r="K4" s="1639" t="s">
        <v>616</v>
      </c>
      <c r="L4" s="1639" t="s">
        <v>257</v>
      </c>
      <c r="M4" s="1639" t="s">
        <v>618</v>
      </c>
      <c r="N4" s="1639" t="s">
        <v>618</v>
      </c>
      <c r="O4" s="1639" t="s">
        <v>618</v>
      </c>
      <c r="P4" s="1639" t="s">
        <v>257</v>
      </c>
      <c r="Q4" s="1639" t="s">
        <v>257</v>
      </c>
      <c r="R4" s="1639" t="s">
        <v>257</v>
      </c>
      <c r="S4" s="1639" t="s">
        <v>257</v>
      </c>
      <c r="T4" s="1639" t="s">
        <v>257</v>
      </c>
      <c r="U4" s="1639" t="s">
        <v>257</v>
      </c>
      <c r="V4" s="1640" t="s">
        <v>257</v>
      </c>
      <c r="W4" s="7"/>
      <c r="X4" s="7"/>
    </row>
    <row r="5" spans="1:24" ht="15" hidden="1" thickBot="1">
      <c r="A5" s="1545"/>
      <c r="B5" s="1546" t="s">
        <v>496</v>
      </c>
      <c r="C5" s="1611">
        <v>100</v>
      </c>
      <c r="D5" s="1611">
        <f>100-C5</f>
        <v>0</v>
      </c>
      <c r="E5" s="1609" t="str">
        <f>'Data source'!M46</f>
        <v>Dry</v>
      </c>
      <c r="F5" s="1609">
        <f>'Data source'!C46</f>
        <v>10</v>
      </c>
      <c r="G5" s="1609">
        <f>'Data source'!D46</f>
        <v>12</v>
      </c>
      <c r="H5" s="1609">
        <f>'Data source'!E46</f>
        <v>8.6</v>
      </c>
      <c r="I5" s="1609">
        <f>'Data source'!F46</f>
        <v>11.4</v>
      </c>
      <c r="J5" s="1609">
        <f>'Data source'!G46</f>
        <v>64</v>
      </c>
      <c r="K5" s="1609">
        <f>'Data source'!H46</f>
        <v>5</v>
      </c>
      <c r="L5" s="1609">
        <f>'Data source'!I46</f>
        <v>0</v>
      </c>
      <c r="M5" s="1609">
        <f>'Data source'!J46</f>
        <v>0</v>
      </c>
      <c r="N5" s="1609">
        <f>'Data source'!K46</f>
        <v>0</v>
      </c>
      <c r="O5" s="1609">
        <f>'Data source'!L46</f>
        <v>0</v>
      </c>
      <c r="P5" s="1609">
        <f>'Data source'!N46</f>
        <v>0.3</v>
      </c>
      <c r="Q5" s="1609">
        <f>'Data source'!O46</f>
        <v>2</v>
      </c>
      <c r="R5" s="1609">
        <f>'Data source'!P46</f>
        <v>0.3</v>
      </c>
      <c r="S5" s="1609">
        <f>'Data source'!Q46</f>
        <v>7.0000000000000007E-2</v>
      </c>
      <c r="T5" s="1609">
        <f>'Data source'!R46</f>
        <v>0.16</v>
      </c>
      <c r="U5" s="1609">
        <f>'Data source'!S46</f>
        <v>0.14000000000000001</v>
      </c>
      <c r="V5" s="1609">
        <f>'Data source'!T46</f>
        <v>0.13</v>
      </c>
      <c r="W5" s="7"/>
      <c r="X5" s="7"/>
    </row>
    <row r="6" spans="1:24" hidden="1">
      <c r="A6" s="1547"/>
      <c r="B6" s="1548" t="s">
        <v>605</v>
      </c>
      <c r="C6" s="1612">
        <v>0</v>
      </c>
      <c r="D6" s="1612">
        <v>100</v>
      </c>
      <c r="E6" s="1609" t="str">
        <f>'Data source'!M47</f>
        <v>Dry</v>
      </c>
      <c r="F6" s="1609">
        <f>'Data source'!C47</f>
        <v>17</v>
      </c>
      <c r="G6" s="1609">
        <f>'Data source'!D47</f>
        <v>10.4</v>
      </c>
      <c r="H6" s="1609">
        <f>'Data source'!E47</f>
        <v>20</v>
      </c>
      <c r="I6" s="1609">
        <f>'Data source'!F47</f>
        <v>32</v>
      </c>
      <c r="J6" s="1609">
        <f>'Data source'!G47</f>
        <v>17.5</v>
      </c>
      <c r="K6" s="1609">
        <f>'Data source'!H47</f>
        <v>0</v>
      </c>
      <c r="L6" s="1609">
        <f>'Data source'!I47</f>
        <v>0</v>
      </c>
      <c r="M6" s="1609">
        <f>'Data source'!J47</f>
        <v>0</v>
      </c>
      <c r="N6" s="1609">
        <f>'Data source'!K47</f>
        <v>0</v>
      </c>
      <c r="O6" s="1609">
        <f>'Data source'!L47</f>
        <v>0</v>
      </c>
      <c r="P6" s="1609">
        <f>'Data source'!N47</f>
        <v>1.3</v>
      </c>
      <c r="Q6" s="1609">
        <f>'Data source'!O47</f>
        <v>3.2</v>
      </c>
      <c r="R6" s="1609">
        <f>'Data source'!P47</f>
        <v>0.3</v>
      </c>
      <c r="S6" s="1609">
        <f>'Data source'!Q47</f>
        <v>0.3</v>
      </c>
      <c r="T6" s="1609">
        <f>'Data source'!R47</f>
        <v>1</v>
      </c>
      <c r="U6" s="1609">
        <f>'Data source'!S47</f>
        <v>1.8</v>
      </c>
      <c r="V6" s="1609">
        <f>'Data source'!T47</f>
        <v>0.3</v>
      </c>
      <c r="W6" s="7"/>
      <c r="X6" s="7"/>
    </row>
    <row r="7" spans="1:24" hidden="1">
      <c r="A7" s="1549" t="s">
        <v>417</v>
      </c>
      <c r="B7" s="1550" t="s">
        <v>562</v>
      </c>
      <c r="C7" s="1612">
        <v>90</v>
      </c>
      <c r="D7" s="1612">
        <v>10</v>
      </c>
      <c r="E7" s="1610" t="s">
        <v>125</v>
      </c>
      <c r="F7" s="1610">
        <f>((F$6*$D7/100)+(F$5*$C7/100))</f>
        <v>10.7</v>
      </c>
      <c r="G7" s="1610">
        <f t="shared" ref="G7:V11" si="0">((G$6*$D7/100)+(G$5*$C7/100))</f>
        <v>11.84</v>
      </c>
      <c r="H7" s="1610">
        <f t="shared" si="0"/>
        <v>9.74</v>
      </c>
      <c r="I7" s="1610">
        <f t="shared" si="0"/>
        <v>13.46</v>
      </c>
      <c r="J7" s="1610">
        <f t="shared" si="0"/>
        <v>59.35</v>
      </c>
      <c r="K7" s="1610">
        <f t="shared" si="0"/>
        <v>4.5</v>
      </c>
      <c r="L7" s="1610">
        <f t="shared" si="0"/>
        <v>0</v>
      </c>
      <c r="M7" s="1610">
        <f t="shared" si="0"/>
        <v>0</v>
      </c>
      <c r="N7" s="1610">
        <f t="shared" si="0"/>
        <v>0</v>
      </c>
      <c r="O7" s="1610">
        <f t="shared" si="0"/>
        <v>0</v>
      </c>
      <c r="P7" s="1610">
        <f t="shared" si="0"/>
        <v>0.4</v>
      </c>
      <c r="Q7" s="1610">
        <f t="shared" si="0"/>
        <v>2.12</v>
      </c>
      <c r="R7" s="1610">
        <f t="shared" si="0"/>
        <v>0.30000000000000004</v>
      </c>
      <c r="S7" s="1610">
        <f t="shared" si="0"/>
        <v>9.2999999999999999E-2</v>
      </c>
      <c r="T7" s="1610">
        <f t="shared" si="0"/>
        <v>0.24400000000000002</v>
      </c>
      <c r="U7" s="1610">
        <f t="shared" si="0"/>
        <v>0.30599999999999999</v>
      </c>
      <c r="V7" s="1610">
        <f t="shared" si="0"/>
        <v>0.14700000000000002</v>
      </c>
      <c r="W7" s="7"/>
      <c r="X7" s="7"/>
    </row>
    <row r="8" spans="1:24" hidden="1">
      <c r="A8" s="1549" t="s">
        <v>554</v>
      </c>
      <c r="B8" s="1550" t="s">
        <v>561</v>
      </c>
      <c r="C8" s="1612">
        <v>85</v>
      </c>
      <c r="D8" s="1612">
        <v>15</v>
      </c>
      <c r="E8" s="1610" t="s">
        <v>125</v>
      </c>
      <c r="F8" s="1610">
        <f>((F$6*$D8/100)+(F$5*$C8/100))</f>
        <v>11.05</v>
      </c>
      <c r="G8" s="1610">
        <f t="shared" si="0"/>
        <v>11.76</v>
      </c>
      <c r="H8" s="1610">
        <f t="shared" si="0"/>
        <v>10.309999999999999</v>
      </c>
      <c r="I8" s="1610">
        <f t="shared" si="0"/>
        <v>14.489999999999998</v>
      </c>
      <c r="J8" s="1610">
        <f t="shared" si="0"/>
        <v>57.024999999999999</v>
      </c>
      <c r="K8" s="1610">
        <f t="shared" si="0"/>
        <v>4.25</v>
      </c>
      <c r="L8" s="1610">
        <f t="shared" si="0"/>
        <v>0</v>
      </c>
      <c r="M8" s="1610">
        <f t="shared" si="0"/>
        <v>0</v>
      </c>
      <c r="N8" s="1610">
        <f t="shared" si="0"/>
        <v>0</v>
      </c>
      <c r="O8" s="1610">
        <f t="shared" si="0"/>
        <v>0</v>
      </c>
      <c r="P8" s="1610">
        <f t="shared" si="0"/>
        <v>0.45</v>
      </c>
      <c r="Q8" s="1610">
        <f t="shared" si="0"/>
        <v>2.1799999999999997</v>
      </c>
      <c r="R8" s="1610">
        <f t="shared" si="0"/>
        <v>0.3</v>
      </c>
      <c r="S8" s="1610">
        <f t="shared" si="0"/>
        <v>0.10450000000000001</v>
      </c>
      <c r="T8" s="1610">
        <f t="shared" si="0"/>
        <v>0.28600000000000003</v>
      </c>
      <c r="U8" s="1610">
        <f t="shared" si="0"/>
        <v>0.38900000000000001</v>
      </c>
      <c r="V8" s="1610">
        <f t="shared" si="0"/>
        <v>0.1555</v>
      </c>
      <c r="W8" s="7"/>
      <c r="X8" s="7"/>
    </row>
    <row r="9" spans="1:24" hidden="1">
      <c r="A9" s="1549" t="s">
        <v>555</v>
      </c>
      <c r="B9" s="1550" t="s">
        <v>563</v>
      </c>
      <c r="C9" s="1612">
        <v>80</v>
      </c>
      <c r="D9" s="1612">
        <v>20</v>
      </c>
      <c r="E9" s="1610" t="s">
        <v>125</v>
      </c>
      <c r="F9" s="1610">
        <f>((F$6*$D9/100)+(F$5*$C9/100))</f>
        <v>11.4</v>
      </c>
      <c r="G9" s="1610">
        <f t="shared" si="0"/>
        <v>11.68</v>
      </c>
      <c r="H9" s="1610">
        <f t="shared" si="0"/>
        <v>10.879999999999999</v>
      </c>
      <c r="I9" s="1610">
        <f t="shared" si="0"/>
        <v>15.52</v>
      </c>
      <c r="J9" s="1610">
        <f t="shared" si="0"/>
        <v>54.7</v>
      </c>
      <c r="K9" s="1610">
        <f t="shared" si="0"/>
        <v>4</v>
      </c>
      <c r="L9" s="1610">
        <f t="shared" si="0"/>
        <v>0</v>
      </c>
      <c r="M9" s="1610">
        <f t="shared" si="0"/>
        <v>0</v>
      </c>
      <c r="N9" s="1610">
        <f t="shared" si="0"/>
        <v>0</v>
      </c>
      <c r="O9" s="1610">
        <f t="shared" si="0"/>
        <v>0</v>
      </c>
      <c r="P9" s="1610">
        <f t="shared" si="0"/>
        <v>0.5</v>
      </c>
      <c r="Q9" s="1610">
        <f t="shared" si="0"/>
        <v>2.2400000000000002</v>
      </c>
      <c r="R9" s="1610">
        <f t="shared" si="0"/>
        <v>0.3</v>
      </c>
      <c r="S9" s="1610">
        <f t="shared" si="0"/>
        <v>0.11600000000000001</v>
      </c>
      <c r="T9" s="1610">
        <f t="shared" si="0"/>
        <v>0.32800000000000001</v>
      </c>
      <c r="U9" s="1610">
        <f t="shared" si="0"/>
        <v>0.47199999999999998</v>
      </c>
      <c r="V9" s="1610">
        <f t="shared" si="0"/>
        <v>0.16400000000000001</v>
      </c>
      <c r="W9" s="7"/>
      <c r="X9" s="7"/>
    </row>
    <row r="10" spans="1:24" hidden="1">
      <c r="A10" s="1549" t="s">
        <v>556</v>
      </c>
      <c r="B10" s="1550" t="s">
        <v>560</v>
      </c>
      <c r="C10" s="1612">
        <v>75</v>
      </c>
      <c r="D10" s="1612">
        <v>25</v>
      </c>
      <c r="E10" s="1610" t="s">
        <v>125</v>
      </c>
      <c r="F10" s="1610">
        <f>((F$6*$D10/100)+(F$5*$C10/100))</f>
        <v>11.75</v>
      </c>
      <c r="G10" s="1610">
        <f t="shared" si="0"/>
        <v>11.6</v>
      </c>
      <c r="H10" s="1610">
        <f t="shared" si="0"/>
        <v>11.45</v>
      </c>
      <c r="I10" s="1610">
        <f t="shared" si="0"/>
        <v>16.55</v>
      </c>
      <c r="J10" s="1610">
        <f t="shared" si="0"/>
        <v>52.375</v>
      </c>
      <c r="K10" s="1610">
        <f t="shared" si="0"/>
        <v>3.75</v>
      </c>
      <c r="L10" s="1610">
        <f t="shared" si="0"/>
        <v>0</v>
      </c>
      <c r="M10" s="1610">
        <f t="shared" si="0"/>
        <v>0</v>
      </c>
      <c r="N10" s="1610">
        <f t="shared" si="0"/>
        <v>0</v>
      </c>
      <c r="O10" s="1610">
        <f t="shared" si="0"/>
        <v>0</v>
      </c>
      <c r="P10" s="1610">
        <f t="shared" si="0"/>
        <v>0.55000000000000004</v>
      </c>
      <c r="Q10" s="1610">
        <f t="shared" si="0"/>
        <v>2.2999999999999998</v>
      </c>
      <c r="R10" s="1610">
        <f t="shared" si="0"/>
        <v>0.3</v>
      </c>
      <c r="S10" s="1610">
        <f t="shared" si="0"/>
        <v>0.1275</v>
      </c>
      <c r="T10" s="1610">
        <f t="shared" si="0"/>
        <v>0.37</v>
      </c>
      <c r="U10" s="1610">
        <f t="shared" si="0"/>
        <v>0.55500000000000005</v>
      </c>
      <c r="V10" s="1610">
        <f t="shared" si="0"/>
        <v>0.17249999999999999</v>
      </c>
      <c r="W10" s="7"/>
      <c r="X10" s="7"/>
    </row>
    <row r="11" spans="1:24" hidden="1">
      <c r="A11" s="1549" t="s">
        <v>557</v>
      </c>
      <c r="B11" s="1550" t="s">
        <v>589</v>
      </c>
      <c r="C11" s="1612">
        <v>70</v>
      </c>
      <c r="D11" s="1612">
        <v>30</v>
      </c>
      <c r="E11" s="1610" t="s">
        <v>125</v>
      </c>
      <c r="F11" s="1610">
        <f>((F$6*$D11/100)+(F$5*$C11/100))</f>
        <v>12.1</v>
      </c>
      <c r="G11" s="1610">
        <f t="shared" si="0"/>
        <v>11.52</v>
      </c>
      <c r="H11" s="1610">
        <f t="shared" si="0"/>
        <v>12.02</v>
      </c>
      <c r="I11" s="1610">
        <f t="shared" si="0"/>
        <v>17.579999999999998</v>
      </c>
      <c r="J11" s="1610">
        <f t="shared" si="0"/>
        <v>50.05</v>
      </c>
      <c r="K11" s="1610">
        <f t="shared" si="0"/>
        <v>3.5</v>
      </c>
      <c r="L11" s="1610">
        <f t="shared" si="0"/>
        <v>0</v>
      </c>
      <c r="M11" s="1610">
        <f t="shared" si="0"/>
        <v>0</v>
      </c>
      <c r="N11" s="1610">
        <f t="shared" si="0"/>
        <v>0</v>
      </c>
      <c r="O11" s="1610">
        <f t="shared" si="0"/>
        <v>0</v>
      </c>
      <c r="P11" s="1610">
        <f t="shared" si="0"/>
        <v>0.6</v>
      </c>
      <c r="Q11" s="1610">
        <f t="shared" si="0"/>
        <v>2.36</v>
      </c>
      <c r="R11" s="1610">
        <f t="shared" si="0"/>
        <v>0.3</v>
      </c>
      <c r="S11" s="1610">
        <f t="shared" si="0"/>
        <v>0.13900000000000001</v>
      </c>
      <c r="T11" s="1610">
        <f t="shared" si="0"/>
        <v>0.41200000000000003</v>
      </c>
      <c r="U11" s="1610">
        <f t="shared" si="0"/>
        <v>0.63800000000000001</v>
      </c>
      <c r="V11" s="1610">
        <f t="shared" si="0"/>
        <v>0.18099999999999999</v>
      </c>
      <c r="W11" s="7"/>
      <c r="X11" s="7"/>
    </row>
    <row r="12" spans="1:24" ht="15" hidden="1" thickBot="1">
      <c r="B12" s="1591" t="s">
        <v>620</v>
      </c>
      <c r="C12" s="990">
        <f>C2</f>
        <v>0</v>
      </c>
      <c r="D12" s="990">
        <f>D2</f>
        <v>0</v>
      </c>
      <c r="E12" s="990" t="s">
        <v>125</v>
      </c>
      <c r="F12" s="990">
        <f t="shared" ref="F12:V12" si="1">((F$6*$D2/100)+(F$5*$C2/100))</f>
        <v>0</v>
      </c>
      <c r="G12" s="990">
        <f t="shared" si="1"/>
        <v>0</v>
      </c>
      <c r="H12" s="990">
        <f t="shared" si="1"/>
        <v>0</v>
      </c>
      <c r="I12" s="990">
        <f t="shared" si="1"/>
        <v>0</v>
      </c>
      <c r="J12" s="990">
        <f t="shared" si="1"/>
        <v>0</v>
      </c>
      <c r="K12" s="990">
        <f t="shared" si="1"/>
        <v>0</v>
      </c>
      <c r="L12" s="990">
        <f t="shared" si="1"/>
        <v>0</v>
      </c>
      <c r="M12" s="990">
        <f t="shared" si="1"/>
        <v>0</v>
      </c>
      <c r="N12" s="990">
        <f t="shared" si="1"/>
        <v>0</v>
      </c>
      <c r="O12" s="990">
        <f t="shared" si="1"/>
        <v>0</v>
      </c>
      <c r="P12" s="990">
        <f t="shared" si="1"/>
        <v>0</v>
      </c>
      <c r="Q12" s="990">
        <f t="shared" si="1"/>
        <v>0</v>
      </c>
      <c r="R12" s="990">
        <f t="shared" si="1"/>
        <v>0</v>
      </c>
      <c r="S12" s="990">
        <f t="shared" si="1"/>
        <v>0</v>
      </c>
      <c r="T12" s="990">
        <f t="shared" si="1"/>
        <v>0</v>
      </c>
      <c r="U12" s="990">
        <f t="shared" si="1"/>
        <v>0</v>
      </c>
      <c r="V12" s="990">
        <f t="shared" si="1"/>
        <v>0</v>
      </c>
      <c r="W12" s="7"/>
      <c r="X12" s="7"/>
    </row>
    <row r="13" spans="1:24">
      <c r="A13" s="7"/>
      <c r="B13" s="7"/>
      <c r="C13" s="8"/>
      <c r="D13" s="8"/>
      <c r="E13" s="1633"/>
      <c r="F13" s="1633"/>
      <c r="G13" s="1633"/>
      <c r="H13" s="1633"/>
      <c r="I13" s="1633"/>
      <c r="J13" s="1633"/>
      <c r="K13" s="1633"/>
      <c r="L13" s="1633"/>
      <c r="M13" s="1633"/>
      <c r="N13" s="1633"/>
      <c r="O13" s="1633"/>
      <c r="P13" s="1633"/>
      <c r="Q13" s="1633"/>
      <c r="R13" s="1633"/>
      <c r="S13" s="1633"/>
      <c r="T13" s="1633"/>
      <c r="U13" s="1633"/>
      <c r="V13" s="1633"/>
      <c r="W13" s="7"/>
      <c r="X13" s="7"/>
    </row>
    <row r="14" spans="1:24" ht="15" thickBot="1">
      <c r="A14" s="1551" t="s">
        <v>632</v>
      </c>
      <c r="B14" s="1591" t="s">
        <v>647</v>
      </c>
      <c r="C14" s="1592"/>
      <c r="D14" s="1592"/>
      <c r="E14" s="1646" t="s">
        <v>650</v>
      </c>
      <c r="G14" s="69"/>
      <c r="H14" s="69"/>
      <c r="I14" s="69"/>
      <c r="J14" s="69"/>
      <c r="K14" s="69"/>
      <c r="L14" s="69"/>
      <c r="M14" s="69"/>
      <c r="N14" s="69"/>
      <c r="O14" s="69"/>
      <c r="P14" s="1633"/>
      <c r="Q14" s="1633"/>
      <c r="R14" s="1633"/>
      <c r="S14" s="1633"/>
      <c r="T14" s="1633"/>
      <c r="U14" s="1633"/>
      <c r="V14" s="1633"/>
      <c r="W14" s="7"/>
    </row>
    <row r="15" spans="1:24" ht="15" hidden="1" thickBot="1">
      <c r="A15" s="885" t="s">
        <v>626</v>
      </c>
      <c r="B15" s="7"/>
      <c r="C15" s="8"/>
      <c r="D15" s="8"/>
      <c r="E15" s="1614" t="s">
        <v>123</v>
      </c>
      <c r="F15" s="1613" t="s">
        <v>7</v>
      </c>
      <c r="G15" s="1614" t="s">
        <v>1</v>
      </c>
      <c r="H15" s="1614" t="s">
        <v>10</v>
      </c>
      <c r="I15" s="1614" t="s">
        <v>12</v>
      </c>
      <c r="J15" s="1614" t="s">
        <v>13</v>
      </c>
      <c r="K15" s="1614" t="s">
        <v>29</v>
      </c>
      <c r="L15" s="1614" t="s">
        <v>31</v>
      </c>
      <c r="M15" s="1614" t="s">
        <v>93</v>
      </c>
      <c r="N15" s="1614" t="s">
        <v>91</v>
      </c>
      <c r="O15" s="1614" t="s">
        <v>92</v>
      </c>
      <c r="P15" s="1614" t="s">
        <v>256</v>
      </c>
      <c r="Q15" s="1614" t="s">
        <v>258</v>
      </c>
      <c r="R15" s="1614" t="s">
        <v>259</v>
      </c>
      <c r="S15" s="1614" t="s">
        <v>260</v>
      </c>
      <c r="T15" s="1614" t="s">
        <v>261</v>
      </c>
      <c r="U15" s="1614" t="s">
        <v>262</v>
      </c>
      <c r="V15" s="1615" t="s">
        <v>263</v>
      </c>
      <c r="W15" s="7"/>
      <c r="X15" s="7"/>
    </row>
    <row r="16" spans="1:24" ht="15" hidden="1" thickBot="1">
      <c r="A16" s="1616"/>
      <c r="B16" s="1617" t="s">
        <v>522</v>
      </c>
      <c r="C16" s="1618" t="s">
        <v>617</v>
      </c>
      <c r="D16" s="1618" t="s">
        <v>553</v>
      </c>
      <c r="E16" s="1620" t="s">
        <v>124</v>
      </c>
      <c r="F16" s="1619" t="s">
        <v>8</v>
      </c>
      <c r="G16" s="1620" t="s">
        <v>619</v>
      </c>
      <c r="H16" s="1620" t="s">
        <v>257</v>
      </c>
      <c r="I16" s="1620" t="s">
        <v>257</v>
      </c>
      <c r="J16" s="1620" t="s">
        <v>257</v>
      </c>
      <c r="K16" s="1620" t="s">
        <v>616</v>
      </c>
      <c r="L16" s="1620" t="s">
        <v>257</v>
      </c>
      <c r="M16" s="1620" t="s">
        <v>618</v>
      </c>
      <c r="N16" s="1620" t="s">
        <v>618</v>
      </c>
      <c r="O16" s="1620" t="s">
        <v>618</v>
      </c>
      <c r="P16" s="1620" t="s">
        <v>257</v>
      </c>
      <c r="Q16" s="1620" t="s">
        <v>257</v>
      </c>
      <c r="R16" s="1620" t="s">
        <v>257</v>
      </c>
      <c r="S16" s="1620" t="s">
        <v>257</v>
      </c>
      <c r="T16" s="1620" t="s">
        <v>257</v>
      </c>
      <c r="U16" s="1620" t="s">
        <v>257</v>
      </c>
      <c r="V16" s="1621" t="s">
        <v>257</v>
      </c>
      <c r="W16" s="7"/>
      <c r="X16" s="7"/>
    </row>
    <row r="17" spans="1:24" ht="15" hidden="1" thickBot="1">
      <c r="A17" s="1545"/>
      <c r="B17" s="1546" t="s">
        <v>640</v>
      </c>
      <c r="C17" s="1611">
        <v>100</v>
      </c>
      <c r="D17" s="1611">
        <f>100-C17</f>
        <v>0</v>
      </c>
      <c r="E17" s="1644">
        <f>E28</f>
        <v>0</v>
      </c>
      <c r="F17" s="1609">
        <f>F28</f>
        <v>0</v>
      </c>
      <c r="G17" s="1609">
        <f t="shared" ref="G17:V18" si="2">G28</f>
        <v>0</v>
      </c>
      <c r="H17" s="1609">
        <f t="shared" si="2"/>
        <v>0</v>
      </c>
      <c r="I17" s="1609">
        <f t="shared" si="2"/>
        <v>0</v>
      </c>
      <c r="J17" s="1609">
        <f t="shared" si="2"/>
        <v>0</v>
      </c>
      <c r="K17" s="1609">
        <f t="shared" si="2"/>
        <v>0</v>
      </c>
      <c r="L17" s="1609">
        <f t="shared" si="2"/>
        <v>0</v>
      </c>
      <c r="M17" s="1609">
        <f t="shared" si="2"/>
        <v>0</v>
      </c>
      <c r="N17" s="1609">
        <f t="shared" si="2"/>
        <v>0</v>
      </c>
      <c r="O17" s="1609">
        <f t="shared" si="2"/>
        <v>0</v>
      </c>
      <c r="P17" s="1609">
        <f t="shared" si="2"/>
        <v>0</v>
      </c>
      <c r="Q17" s="1609">
        <f t="shared" si="2"/>
        <v>0</v>
      </c>
      <c r="R17" s="1609">
        <f t="shared" si="2"/>
        <v>0</v>
      </c>
      <c r="S17" s="1609">
        <f t="shared" si="2"/>
        <v>0</v>
      </c>
      <c r="T17" s="1609">
        <f t="shared" si="2"/>
        <v>0</v>
      </c>
      <c r="U17" s="1609">
        <f t="shared" si="2"/>
        <v>0</v>
      </c>
      <c r="V17" s="1609">
        <f t="shared" si="2"/>
        <v>0</v>
      </c>
      <c r="W17" s="7"/>
      <c r="X17" s="7"/>
    </row>
    <row r="18" spans="1:24" hidden="1">
      <c r="A18" s="1547"/>
      <c r="B18" s="1548" t="s">
        <v>641</v>
      </c>
      <c r="C18" s="1612">
        <v>0</v>
      </c>
      <c r="D18" s="1612">
        <v>100</v>
      </c>
      <c r="E18" s="990">
        <f>E29</f>
        <v>0</v>
      </c>
      <c r="F18" s="1609">
        <f>F29</f>
        <v>0</v>
      </c>
      <c r="G18" s="1609">
        <f t="shared" si="2"/>
        <v>0</v>
      </c>
      <c r="H18" s="1609">
        <f t="shared" si="2"/>
        <v>0</v>
      </c>
      <c r="I18" s="1609">
        <f t="shared" si="2"/>
        <v>0</v>
      </c>
      <c r="J18" s="1609">
        <f t="shared" si="2"/>
        <v>0</v>
      </c>
      <c r="K18" s="1609">
        <f t="shared" si="2"/>
        <v>0</v>
      </c>
      <c r="L18" s="1609">
        <f t="shared" si="2"/>
        <v>0</v>
      </c>
      <c r="M18" s="1609">
        <f t="shared" si="2"/>
        <v>0</v>
      </c>
      <c r="N18" s="1609">
        <f t="shared" si="2"/>
        <v>0</v>
      </c>
      <c r="O18" s="1609">
        <f t="shared" si="2"/>
        <v>0</v>
      </c>
      <c r="P18" s="1609">
        <f t="shared" si="2"/>
        <v>0</v>
      </c>
      <c r="Q18" s="1609">
        <f t="shared" si="2"/>
        <v>0</v>
      </c>
      <c r="R18" s="1609">
        <f t="shared" si="2"/>
        <v>0</v>
      </c>
      <c r="S18" s="1609">
        <f t="shared" si="2"/>
        <v>0</v>
      </c>
      <c r="T18" s="1609">
        <f t="shared" si="2"/>
        <v>0</v>
      </c>
      <c r="U18" s="1609">
        <f t="shared" si="2"/>
        <v>0</v>
      </c>
      <c r="V18" s="1609">
        <f t="shared" si="2"/>
        <v>0</v>
      </c>
      <c r="W18" s="7"/>
      <c r="X18" s="7"/>
    </row>
    <row r="19" spans="1:24" hidden="1">
      <c r="A19" s="1549" t="s">
        <v>417</v>
      </c>
      <c r="B19" s="1550" t="s">
        <v>642</v>
      </c>
      <c r="C19" s="1612">
        <v>90</v>
      </c>
      <c r="D19" s="1612">
        <v>10</v>
      </c>
      <c r="E19" s="990">
        <f>E17</f>
        <v>0</v>
      </c>
      <c r="F19" s="1610">
        <f t="shared" ref="F19:V23" si="3">((F$18*$D19/100)+(F$17*$C19/100))</f>
        <v>0</v>
      </c>
      <c r="G19" s="1610">
        <f t="shared" si="3"/>
        <v>0</v>
      </c>
      <c r="H19" s="1610">
        <f t="shared" si="3"/>
        <v>0</v>
      </c>
      <c r="I19" s="1610">
        <f t="shared" si="3"/>
        <v>0</v>
      </c>
      <c r="J19" s="1610">
        <f t="shared" si="3"/>
        <v>0</v>
      </c>
      <c r="K19" s="1610">
        <f t="shared" si="3"/>
        <v>0</v>
      </c>
      <c r="L19" s="1610">
        <f t="shared" si="3"/>
        <v>0</v>
      </c>
      <c r="M19" s="1610">
        <f t="shared" si="3"/>
        <v>0</v>
      </c>
      <c r="N19" s="1610">
        <f t="shared" si="3"/>
        <v>0</v>
      </c>
      <c r="O19" s="1610">
        <f t="shared" si="3"/>
        <v>0</v>
      </c>
      <c r="P19" s="1610">
        <f t="shared" si="3"/>
        <v>0</v>
      </c>
      <c r="Q19" s="1610">
        <f t="shared" si="3"/>
        <v>0</v>
      </c>
      <c r="R19" s="1610">
        <f t="shared" si="3"/>
        <v>0</v>
      </c>
      <c r="S19" s="1610">
        <f t="shared" si="3"/>
        <v>0</v>
      </c>
      <c r="T19" s="1610">
        <f t="shared" si="3"/>
        <v>0</v>
      </c>
      <c r="U19" s="1610">
        <f t="shared" si="3"/>
        <v>0</v>
      </c>
      <c r="V19" s="1610">
        <f t="shared" si="3"/>
        <v>0</v>
      </c>
      <c r="W19" s="7"/>
      <c r="X19" s="7"/>
    </row>
    <row r="20" spans="1:24" hidden="1">
      <c r="A20" s="1549" t="s">
        <v>554</v>
      </c>
      <c r="B20" s="1550" t="s">
        <v>643</v>
      </c>
      <c r="C20" s="1612">
        <v>85</v>
      </c>
      <c r="D20" s="1612">
        <v>15</v>
      </c>
      <c r="E20" s="990">
        <f t="shared" ref="E20:E24" si="4">E18</f>
        <v>0</v>
      </c>
      <c r="F20" s="1610">
        <f t="shared" si="3"/>
        <v>0</v>
      </c>
      <c r="G20" s="1610">
        <f t="shared" si="3"/>
        <v>0</v>
      </c>
      <c r="H20" s="1610">
        <f t="shared" si="3"/>
        <v>0</v>
      </c>
      <c r="I20" s="1610">
        <f t="shared" si="3"/>
        <v>0</v>
      </c>
      <c r="J20" s="1610">
        <f t="shared" si="3"/>
        <v>0</v>
      </c>
      <c r="K20" s="1610">
        <f t="shared" si="3"/>
        <v>0</v>
      </c>
      <c r="L20" s="1610">
        <f t="shared" si="3"/>
        <v>0</v>
      </c>
      <c r="M20" s="1610">
        <f t="shared" si="3"/>
        <v>0</v>
      </c>
      <c r="N20" s="1610">
        <f t="shared" si="3"/>
        <v>0</v>
      </c>
      <c r="O20" s="1610">
        <f t="shared" si="3"/>
        <v>0</v>
      </c>
      <c r="P20" s="1610">
        <f t="shared" si="3"/>
        <v>0</v>
      </c>
      <c r="Q20" s="1610">
        <f t="shared" si="3"/>
        <v>0</v>
      </c>
      <c r="R20" s="1610">
        <f t="shared" si="3"/>
        <v>0</v>
      </c>
      <c r="S20" s="1610">
        <f t="shared" si="3"/>
        <v>0</v>
      </c>
      <c r="T20" s="1610">
        <f t="shared" si="3"/>
        <v>0</v>
      </c>
      <c r="U20" s="1610">
        <f t="shared" si="3"/>
        <v>0</v>
      </c>
      <c r="V20" s="1610">
        <f t="shared" si="3"/>
        <v>0</v>
      </c>
      <c r="W20" s="7"/>
      <c r="X20" s="7"/>
    </row>
    <row r="21" spans="1:24" hidden="1">
      <c r="A21" s="1549" t="s">
        <v>555</v>
      </c>
      <c r="B21" s="1550" t="s">
        <v>644</v>
      </c>
      <c r="C21" s="1612">
        <v>80</v>
      </c>
      <c r="D21" s="1612">
        <v>20</v>
      </c>
      <c r="E21" s="990">
        <f t="shared" si="4"/>
        <v>0</v>
      </c>
      <c r="F21" s="1610">
        <f t="shared" si="3"/>
        <v>0</v>
      </c>
      <c r="G21" s="1610">
        <f t="shared" si="3"/>
        <v>0</v>
      </c>
      <c r="H21" s="1610">
        <f t="shared" si="3"/>
        <v>0</v>
      </c>
      <c r="I21" s="1610">
        <f t="shared" si="3"/>
        <v>0</v>
      </c>
      <c r="J21" s="1610">
        <f t="shared" si="3"/>
        <v>0</v>
      </c>
      <c r="K21" s="1610">
        <f t="shared" si="3"/>
        <v>0</v>
      </c>
      <c r="L21" s="1610">
        <f t="shared" si="3"/>
        <v>0</v>
      </c>
      <c r="M21" s="1610">
        <f t="shared" si="3"/>
        <v>0</v>
      </c>
      <c r="N21" s="1610">
        <f t="shared" si="3"/>
        <v>0</v>
      </c>
      <c r="O21" s="1610">
        <f t="shared" si="3"/>
        <v>0</v>
      </c>
      <c r="P21" s="1610">
        <f t="shared" si="3"/>
        <v>0</v>
      </c>
      <c r="Q21" s="1610">
        <f t="shared" si="3"/>
        <v>0</v>
      </c>
      <c r="R21" s="1610">
        <f t="shared" si="3"/>
        <v>0</v>
      </c>
      <c r="S21" s="1610">
        <f t="shared" si="3"/>
        <v>0</v>
      </c>
      <c r="T21" s="1610">
        <f t="shared" si="3"/>
        <v>0</v>
      </c>
      <c r="U21" s="1610">
        <f t="shared" si="3"/>
        <v>0</v>
      </c>
      <c r="V21" s="1610">
        <f t="shared" si="3"/>
        <v>0</v>
      </c>
      <c r="W21" s="7"/>
      <c r="X21" s="7"/>
    </row>
    <row r="22" spans="1:24" hidden="1">
      <c r="A22" s="1549" t="s">
        <v>556</v>
      </c>
      <c r="B22" s="1550" t="s">
        <v>645</v>
      </c>
      <c r="C22" s="1612">
        <v>75</v>
      </c>
      <c r="D22" s="1612">
        <v>25</v>
      </c>
      <c r="E22" s="990">
        <f t="shared" si="4"/>
        <v>0</v>
      </c>
      <c r="F22" s="1610">
        <f>((F$18*$D22/100)+(F$17*$C22/100))</f>
        <v>0</v>
      </c>
      <c r="G22" s="1610">
        <f t="shared" si="3"/>
        <v>0</v>
      </c>
      <c r="H22" s="1610">
        <f t="shared" si="3"/>
        <v>0</v>
      </c>
      <c r="I22" s="1610">
        <f t="shared" si="3"/>
        <v>0</v>
      </c>
      <c r="J22" s="1610">
        <f t="shared" si="3"/>
        <v>0</v>
      </c>
      <c r="K22" s="1610">
        <f t="shared" si="3"/>
        <v>0</v>
      </c>
      <c r="L22" s="1610">
        <f t="shared" si="3"/>
        <v>0</v>
      </c>
      <c r="M22" s="1610">
        <f t="shared" si="3"/>
        <v>0</v>
      </c>
      <c r="N22" s="1610">
        <f t="shared" si="3"/>
        <v>0</v>
      </c>
      <c r="O22" s="1610">
        <f t="shared" si="3"/>
        <v>0</v>
      </c>
      <c r="P22" s="1610">
        <f t="shared" si="3"/>
        <v>0</v>
      </c>
      <c r="Q22" s="1610">
        <f t="shared" si="3"/>
        <v>0</v>
      </c>
      <c r="R22" s="1610">
        <f t="shared" si="3"/>
        <v>0</v>
      </c>
      <c r="S22" s="1610">
        <f t="shared" si="3"/>
        <v>0</v>
      </c>
      <c r="T22" s="1610">
        <f t="shared" si="3"/>
        <v>0</v>
      </c>
      <c r="U22" s="1610">
        <f t="shared" si="3"/>
        <v>0</v>
      </c>
      <c r="V22" s="1610">
        <f t="shared" si="3"/>
        <v>0</v>
      </c>
      <c r="W22" s="7"/>
      <c r="X22" s="7"/>
    </row>
    <row r="23" spans="1:24" hidden="1">
      <c r="A23" s="1549" t="s">
        <v>557</v>
      </c>
      <c r="B23" s="1550" t="s">
        <v>646</v>
      </c>
      <c r="C23" s="1612">
        <v>70</v>
      </c>
      <c r="D23" s="1612">
        <v>30</v>
      </c>
      <c r="E23" s="990">
        <f>E21</f>
        <v>0</v>
      </c>
      <c r="F23" s="1610">
        <f t="shared" si="3"/>
        <v>0</v>
      </c>
      <c r="G23" s="1610">
        <f t="shared" si="3"/>
        <v>0</v>
      </c>
      <c r="H23" s="1610">
        <f t="shared" si="3"/>
        <v>0</v>
      </c>
      <c r="I23" s="1610">
        <f t="shared" si="3"/>
        <v>0</v>
      </c>
      <c r="J23" s="1610">
        <f t="shared" si="3"/>
        <v>0</v>
      </c>
      <c r="K23" s="1610">
        <f t="shared" si="3"/>
        <v>0</v>
      </c>
      <c r="L23" s="1610">
        <f t="shared" si="3"/>
        <v>0</v>
      </c>
      <c r="M23" s="1610">
        <f t="shared" si="3"/>
        <v>0</v>
      </c>
      <c r="N23" s="1610">
        <f t="shared" si="3"/>
        <v>0</v>
      </c>
      <c r="O23" s="1610">
        <f t="shared" si="3"/>
        <v>0</v>
      </c>
      <c r="P23" s="1610">
        <f t="shared" si="3"/>
        <v>0</v>
      </c>
      <c r="Q23" s="1610">
        <f t="shared" si="3"/>
        <v>0</v>
      </c>
      <c r="R23" s="1610">
        <f t="shared" si="3"/>
        <v>0</v>
      </c>
      <c r="S23" s="1610">
        <f t="shared" si="3"/>
        <v>0</v>
      </c>
      <c r="T23" s="1610">
        <f t="shared" si="3"/>
        <v>0</v>
      </c>
      <c r="U23" s="1610">
        <f t="shared" si="3"/>
        <v>0</v>
      </c>
      <c r="V23" s="1610">
        <f t="shared" si="3"/>
        <v>0</v>
      </c>
      <c r="W23" s="7"/>
      <c r="X23" s="7"/>
    </row>
    <row r="24" spans="1:24" ht="15" hidden="1" thickBot="1">
      <c r="B24" s="1591" t="s">
        <v>647</v>
      </c>
      <c r="C24" s="990">
        <f>C14</f>
        <v>0</v>
      </c>
      <c r="D24" s="990">
        <f>D14</f>
        <v>0</v>
      </c>
      <c r="E24" s="990">
        <f t="shared" si="4"/>
        <v>0</v>
      </c>
      <c r="F24" s="990">
        <f t="shared" ref="F24:V24" si="5">((F$18*$D14/100)+(F$17*$C14/100))</f>
        <v>0</v>
      </c>
      <c r="G24" s="990">
        <f t="shared" si="5"/>
        <v>0</v>
      </c>
      <c r="H24" s="990">
        <f t="shared" si="5"/>
        <v>0</v>
      </c>
      <c r="I24" s="990">
        <f>((I$18*$D14/100)+(I$17*$C14/100))</f>
        <v>0</v>
      </c>
      <c r="J24" s="990">
        <f t="shared" si="5"/>
        <v>0</v>
      </c>
      <c r="K24" s="990">
        <f t="shared" si="5"/>
        <v>0</v>
      </c>
      <c r="L24" s="990">
        <f t="shared" si="5"/>
        <v>0</v>
      </c>
      <c r="M24" s="990">
        <f t="shared" si="5"/>
        <v>0</v>
      </c>
      <c r="N24" s="990">
        <f t="shared" si="5"/>
        <v>0</v>
      </c>
      <c r="O24" s="990">
        <f t="shared" si="5"/>
        <v>0</v>
      </c>
      <c r="P24" s="990">
        <f t="shared" si="5"/>
        <v>0</v>
      </c>
      <c r="Q24" s="990">
        <f t="shared" si="5"/>
        <v>0</v>
      </c>
      <c r="R24" s="990">
        <f t="shared" si="5"/>
        <v>0</v>
      </c>
      <c r="S24" s="990">
        <f t="shared" si="5"/>
        <v>0</v>
      </c>
      <c r="T24" s="990">
        <f t="shared" si="5"/>
        <v>0</v>
      </c>
      <c r="U24" s="990">
        <f t="shared" si="5"/>
        <v>0</v>
      </c>
      <c r="V24" s="990">
        <f t="shared" si="5"/>
        <v>0</v>
      </c>
      <c r="W24" s="7"/>
      <c r="X24" s="7"/>
    </row>
    <row r="25" spans="1:24" ht="15" hidden="1" thickBot="1">
      <c r="A25" s="7"/>
      <c r="B25" s="7"/>
      <c r="C25" s="1489"/>
      <c r="D25" s="8"/>
      <c r="E25" s="7"/>
      <c r="F25" s="7"/>
      <c r="G25" s="7"/>
      <c r="H25" s="7"/>
      <c r="I25" s="7"/>
      <c r="J25" s="7"/>
      <c r="K25" s="7"/>
      <c r="L25" s="7"/>
      <c r="M25" s="7"/>
      <c r="N25" s="7"/>
      <c r="O25" s="7"/>
      <c r="P25" s="7"/>
      <c r="Q25" s="7"/>
      <c r="R25" s="7"/>
      <c r="S25" s="7"/>
      <c r="T25" s="7"/>
      <c r="U25" s="7"/>
      <c r="V25" s="7"/>
      <c r="W25" s="7"/>
    </row>
    <row r="26" spans="1:24">
      <c r="A26" s="1499" t="s">
        <v>630</v>
      </c>
      <c r="B26" s="1552"/>
      <c r="C26" s="1500"/>
      <c r="D26" s="1500"/>
      <c r="E26" s="1628" t="s">
        <v>123</v>
      </c>
      <c r="F26" s="1627" t="s">
        <v>7</v>
      </c>
      <c r="G26" s="1628" t="s">
        <v>1</v>
      </c>
      <c r="H26" s="1628" t="s">
        <v>10</v>
      </c>
      <c r="I26" s="1628" t="s">
        <v>12</v>
      </c>
      <c r="J26" s="1628" t="s">
        <v>13</v>
      </c>
      <c r="K26" s="1628" t="s">
        <v>29</v>
      </c>
      <c r="L26" s="1628" t="s">
        <v>31</v>
      </c>
      <c r="M26" s="1628" t="s">
        <v>93</v>
      </c>
      <c r="N26" s="1628" t="s">
        <v>91</v>
      </c>
      <c r="O26" s="1628" t="s">
        <v>92</v>
      </c>
      <c r="P26" s="1628" t="s">
        <v>256</v>
      </c>
      <c r="Q26" s="1628" t="s">
        <v>258</v>
      </c>
      <c r="R26" s="1628" t="s">
        <v>259</v>
      </c>
      <c r="S26" s="1628" t="s">
        <v>260</v>
      </c>
      <c r="T26" s="1628" t="s">
        <v>261</v>
      </c>
      <c r="U26" s="1628" t="s">
        <v>262</v>
      </c>
      <c r="V26" s="1629" t="s">
        <v>263</v>
      </c>
      <c r="W26" s="7"/>
      <c r="X26" s="7"/>
    </row>
    <row r="27" spans="1:24" ht="15" thickBot="1">
      <c r="A27" s="1553"/>
      <c r="B27" s="7"/>
      <c r="C27" s="1498" t="s">
        <v>617</v>
      </c>
      <c r="D27" s="1498" t="s">
        <v>553</v>
      </c>
      <c r="E27" s="1631" t="s">
        <v>124</v>
      </c>
      <c r="F27" s="1630" t="s">
        <v>8</v>
      </c>
      <c r="G27" s="1631" t="s">
        <v>619</v>
      </c>
      <c r="H27" s="1631" t="s">
        <v>257</v>
      </c>
      <c r="I27" s="1631" t="s">
        <v>257</v>
      </c>
      <c r="J27" s="1631" t="s">
        <v>257</v>
      </c>
      <c r="K27" s="1631" t="s">
        <v>616</v>
      </c>
      <c r="L27" s="1631" t="s">
        <v>257</v>
      </c>
      <c r="M27" s="1631" t="s">
        <v>618</v>
      </c>
      <c r="N27" s="1631" t="s">
        <v>618</v>
      </c>
      <c r="O27" s="1631" t="s">
        <v>618</v>
      </c>
      <c r="P27" s="1631" t="s">
        <v>257</v>
      </c>
      <c r="Q27" s="1631" t="s">
        <v>257</v>
      </c>
      <c r="R27" s="1631" t="s">
        <v>257</v>
      </c>
      <c r="S27" s="1631" t="s">
        <v>257</v>
      </c>
      <c r="T27" s="1631" t="s">
        <v>257</v>
      </c>
      <c r="U27" s="1631" t="s">
        <v>257</v>
      </c>
      <c r="V27" s="1632" t="s">
        <v>257</v>
      </c>
      <c r="W27" s="7"/>
      <c r="X27" s="7"/>
    </row>
    <row r="28" spans="1:24" ht="15.6" thickTop="1" thickBot="1">
      <c r="A28" s="1554"/>
      <c r="B28" s="1555" t="s">
        <v>567</v>
      </c>
      <c r="C28" s="1556">
        <v>100</v>
      </c>
      <c r="D28" s="1556">
        <v>0</v>
      </c>
      <c r="E28" s="1648"/>
      <c r="F28" s="1589"/>
      <c r="G28" s="1494"/>
      <c r="H28" s="1494"/>
      <c r="I28" s="1494"/>
      <c r="J28" s="1494"/>
      <c r="K28" s="1494"/>
      <c r="L28" s="1494"/>
      <c r="M28" s="1494"/>
      <c r="N28" s="1494"/>
      <c r="O28" s="1494"/>
      <c r="P28" s="1494"/>
      <c r="Q28" s="1494"/>
      <c r="R28" s="1494"/>
      <c r="S28" s="1494"/>
      <c r="T28" s="1494"/>
      <c r="U28" s="1494"/>
      <c r="V28" s="1495"/>
      <c r="W28" s="7"/>
      <c r="X28" s="7"/>
    </row>
    <row r="29" spans="1:24" ht="15.6" thickTop="1" thickBot="1">
      <c r="A29" s="1557"/>
      <c r="B29" s="1558" t="s">
        <v>568</v>
      </c>
      <c r="C29" s="1559">
        <v>0</v>
      </c>
      <c r="D29" s="1559">
        <v>100</v>
      </c>
      <c r="E29" s="1648"/>
      <c r="F29" s="1590"/>
      <c r="G29" s="1496"/>
      <c r="H29" s="1496"/>
      <c r="I29" s="1496"/>
      <c r="J29" s="1496"/>
      <c r="K29" s="1496"/>
      <c r="L29" s="1496"/>
      <c r="M29" s="1496"/>
      <c r="N29" s="1496"/>
      <c r="O29" s="1496"/>
      <c r="P29" s="1496"/>
      <c r="Q29" s="1496"/>
      <c r="R29" s="1496"/>
      <c r="S29" s="1496"/>
      <c r="T29" s="1496"/>
      <c r="U29" s="1496"/>
      <c r="V29" s="1497"/>
      <c r="W29" s="7"/>
      <c r="X29" s="7"/>
    </row>
    <row r="30" spans="1:24" s="895" customFormat="1">
      <c r="A30" s="1501"/>
      <c r="B30" s="1560"/>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560"/>
    </row>
    <row r="31" spans="1:24" s="895" customFormat="1" ht="18.600000000000001" thickBot="1">
      <c r="A31" s="1501"/>
      <c r="B31" s="1560"/>
      <c r="C31" s="1493"/>
      <c r="D31" s="1493"/>
      <c r="E31" s="1647" t="s">
        <v>395</v>
      </c>
      <c r="F31" s="1493"/>
      <c r="G31" s="1493"/>
      <c r="H31" s="1493"/>
      <c r="I31" s="1493"/>
      <c r="J31" s="1493"/>
      <c r="K31" s="1493"/>
      <c r="L31" s="1493"/>
      <c r="M31" s="1493"/>
      <c r="N31" s="1493"/>
      <c r="O31" s="1493"/>
      <c r="P31" s="1493"/>
      <c r="Q31" s="1493"/>
      <c r="R31" s="1493"/>
      <c r="S31" s="1493"/>
      <c r="T31" s="1493"/>
      <c r="U31" s="1493"/>
      <c r="V31" s="1493"/>
      <c r="W31" s="1493"/>
      <c r="X31" s="1560"/>
    </row>
    <row r="32" spans="1:24" s="895" customFormat="1">
      <c r="A32" s="1499" t="s">
        <v>635</v>
      </c>
      <c r="B32" s="26"/>
      <c r="C32" s="8"/>
      <c r="D32" s="8"/>
      <c r="E32" s="1623" t="s">
        <v>123</v>
      </c>
      <c r="F32" s="1622" t="s">
        <v>7</v>
      </c>
      <c r="G32" s="1623" t="s">
        <v>1</v>
      </c>
      <c r="H32" s="1623" t="s">
        <v>10</v>
      </c>
      <c r="I32" s="1623" t="s">
        <v>12</v>
      </c>
      <c r="J32" s="1623" t="s">
        <v>13</v>
      </c>
      <c r="K32" s="1623" t="s">
        <v>29</v>
      </c>
      <c r="L32" s="1623" t="s">
        <v>31</v>
      </c>
      <c r="M32" s="1623" t="s">
        <v>93</v>
      </c>
      <c r="N32" s="1623" t="s">
        <v>91</v>
      </c>
      <c r="O32" s="1623" t="s">
        <v>92</v>
      </c>
      <c r="P32" s="1623" t="s">
        <v>256</v>
      </c>
      <c r="Q32" s="1623" t="s">
        <v>258</v>
      </c>
      <c r="R32" s="1623" t="s">
        <v>259</v>
      </c>
      <c r="S32" s="1623" t="s">
        <v>260</v>
      </c>
      <c r="T32" s="1623" t="s">
        <v>261</v>
      </c>
      <c r="U32" s="1623" t="s">
        <v>262</v>
      </c>
      <c r="V32" s="1624" t="s">
        <v>263</v>
      </c>
      <c r="W32" s="1493"/>
      <c r="X32" s="1560"/>
    </row>
    <row r="33" spans="1:24" s="895" customFormat="1" ht="15" thickBot="1">
      <c r="A33" s="1503"/>
      <c r="B33" s="1625" t="s">
        <v>636</v>
      </c>
      <c r="C33" s="1504"/>
      <c r="D33" s="1504"/>
      <c r="E33" s="1626" t="s">
        <v>124</v>
      </c>
      <c r="F33" s="1626" t="s">
        <v>8</v>
      </c>
      <c r="G33" s="1626" t="s">
        <v>619</v>
      </c>
      <c r="H33" s="1626" t="s">
        <v>257</v>
      </c>
      <c r="I33" s="1626" t="s">
        <v>257</v>
      </c>
      <c r="J33" s="1626" t="s">
        <v>257</v>
      </c>
      <c r="K33" s="1626" t="s">
        <v>616</v>
      </c>
      <c r="L33" s="1626" t="s">
        <v>257</v>
      </c>
      <c r="M33" s="1626" t="s">
        <v>618</v>
      </c>
      <c r="N33" s="1626" t="s">
        <v>618</v>
      </c>
      <c r="O33" s="1626" t="s">
        <v>618</v>
      </c>
      <c r="P33" s="1626" t="s">
        <v>257</v>
      </c>
      <c r="Q33" s="1626" t="s">
        <v>257</v>
      </c>
      <c r="R33" s="1626" t="s">
        <v>257</v>
      </c>
      <c r="S33" s="1626" t="s">
        <v>257</v>
      </c>
      <c r="T33" s="1626" t="s">
        <v>257</v>
      </c>
      <c r="U33" s="1626" t="s">
        <v>257</v>
      </c>
      <c r="V33" s="1626" t="s">
        <v>257</v>
      </c>
      <c r="W33" s="1560"/>
      <c r="X33" s="1560" t="s">
        <v>495</v>
      </c>
    </row>
    <row r="34" spans="1:24" ht="16.5" customHeight="1" thickTop="1" thickBot="1">
      <c r="A34" s="1503"/>
      <c r="B34" s="1505" t="s">
        <v>648</v>
      </c>
      <c r="C34" s="1504"/>
      <c r="D34" s="1504"/>
      <c r="E34" s="1648"/>
      <c r="F34" s="1506"/>
      <c r="G34" s="1506"/>
      <c r="H34" s="1506"/>
      <c r="I34" s="1506"/>
      <c r="J34" s="1506"/>
      <c r="K34" s="1506"/>
      <c r="L34" s="1506"/>
      <c r="M34" s="1506"/>
      <c r="N34" s="1506"/>
      <c r="O34" s="1506"/>
      <c r="P34" s="1506"/>
      <c r="Q34" s="1506"/>
      <c r="R34" s="1506"/>
      <c r="S34" s="1506"/>
      <c r="T34" s="1506"/>
      <c r="U34" s="1506"/>
      <c r="V34" s="1506"/>
      <c r="W34" s="7"/>
      <c r="X34" s="7" t="str">
        <f>IF(D34&lt;&gt;"Leaf (if available)","",IF(COUNTA($F34:$V34)=18,1,0))</f>
        <v/>
      </c>
    </row>
    <row r="35" spans="1:24" ht="16.5" customHeight="1" thickTop="1" thickBot="1">
      <c r="A35" s="1503"/>
      <c r="B35" s="1505" t="s">
        <v>621</v>
      </c>
      <c r="C35" s="1504"/>
      <c r="D35" s="1504"/>
      <c r="E35" s="1648"/>
      <c r="F35" s="1506"/>
      <c r="G35" s="1506"/>
      <c r="H35" s="1506"/>
      <c r="I35" s="1506"/>
      <c r="J35" s="1506"/>
      <c r="K35" s="1506"/>
      <c r="L35" s="1506"/>
      <c r="M35" s="1506"/>
      <c r="N35" s="1506"/>
      <c r="O35" s="1506"/>
      <c r="P35" s="1506"/>
      <c r="Q35" s="1506"/>
      <c r="R35" s="1506"/>
      <c r="S35" s="1506"/>
      <c r="T35" s="1506"/>
      <c r="U35" s="1506"/>
      <c r="V35" s="1506"/>
      <c r="W35" s="7"/>
      <c r="X35" s="7" t="str">
        <f>IF(D35&lt;&gt;"Leaf (if available)","",IF(COUNTA($F35:$V35)=18,1,0))</f>
        <v/>
      </c>
    </row>
    <row r="36" spans="1:24" ht="16.5" customHeight="1" thickTop="1" thickBot="1">
      <c r="A36" s="1503"/>
      <c r="B36" s="1505" t="s">
        <v>622</v>
      </c>
      <c r="C36" s="1504"/>
      <c r="D36" s="1504"/>
      <c r="E36" s="1648"/>
      <c r="F36" s="1506"/>
      <c r="G36" s="1506"/>
      <c r="H36" s="1506"/>
      <c r="I36" s="1506"/>
      <c r="J36" s="1506"/>
      <c r="K36" s="1506"/>
      <c r="L36" s="1506"/>
      <c r="M36" s="1506"/>
      <c r="N36" s="1506"/>
      <c r="O36" s="1506"/>
      <c r="P36" s="1506"/>
      <c r="Q36" s="1506"/>
      <c r="R36" s="1506"/>
      <c r="S36" s="1506"/>
      <c r="T36" s="1506"/>
      <c r="U36" s="1506"/>
      <c r="V36" s="1506"/>
      <c r="W36" s="7"/>
      <c r="X36" s="7"/>
    </row>
    <row r="37" spans="1:24" ht="16.5" customHeight="1" thickTop="1" thickBot="1">
      <c r="A37" s="1503"/>
      <c r="B37" s="1505" t="s">
        <v>591</v>
      </c>
      <c r="C37" s="1504"/>
      <c r="D37" s="1504"/>
      <c r="E37" s="1648"/>
      <c r="F37" s="1506"/>
      <c r="G37" s="1506"/>
      <c r="H37" s="1506"/>
      <c r="I37" s="1506"/>
      <c r="J37" s="1506"/>
      <c r="K37" s="1506"/>
      <c r="L37" s="1506"/>
      <c r="M37" s="1506"/>
      <c r="N37" s="1506"/>
      <c r="O37" s="1506"/>
      <c r="P37" s="1506"/>
      <c r="Q37" s="1506"/>
      <c r="R37" s="1506"/>
      <c r="S37" s="1506"/>
      <c r="T37" s="1506"/>
      <c r="U37" s="1506"/>
      <c r="V37" s="1506"/>
      <c r="W37" s="7"/>
      <c r="X37" s="7" t="str">
        <f>IF(D37&lt;&gt;"Leaf (if available)","",IF(COUNTA($F37:$V37)=18,1,0))</f>
        <v/>
      </c>
    </row>
    <row r="38" spans="1:24" ht="16.5" customHeight="1" thickTop="1" thickBot="1">
      <c r="A38" s="1503"/>
      <c r="B38" s="1505" t="s">
        <v>592</v>
      </c>
      <c r="C38" s="1504"/>
      <c r="D38" s="1504"/>
      <c r="E38" s="1648"/>
      <c r="F38" s="1506"/>
      <c r="G38" s="1506"/>
      <c r="H38" s="1506"/>
      <c r="I38" s="1506"/>
      <c r="J38" s="1506"/>
      <c r="K38" s="1506"/>
      <c r="L38" s="1506"/>
      <c r="M38" s="1506"/>
      <c r="N38" s="1506"/>
      <c r="O38" s="1506"/>
      <c r="P38" s="1506"/>
      <c r="Q38" s="1506"/>
      <c r="R38" s="1506"/>
      <c r="S38" s="1506"/>
      <c r="T38" s="1506"/>
      <c r="U38" s="1506"/>
      <c r="V38" s="1506"/>
      <c r="W38" s="7"/>
      <c r="X38" s="7" t="str">
        <f>IF(D38&lt;&gt;"Leaf (if available)","",IF(COUNTA($F38:$V38)=18,1,0))</f>
        <v/>
      </c>
    </row>
    <row r="39" spans="1:24" ht="16.5" customHeight="1" thickTop="1" thickBot="1">
      <c r="A39" s="1503"/>
      <c r="B39" s="1505" t="s">
        <v>593</v>
      </c>
      <c r="C39" s="1504"/>
      <c r="D39" s="1504"/>
      <c r="E39" s="1648"/>
      <c r="F39" s="1506"/>
      <c r="G39" s="1506"/>
      <c r="H39" s="1506"/>
      <c r="I39" s="1506"/>
      <c r="J39" s="1506"/>
      <c r="K39" s="1506"/>
      <c r="L39" s="1506"/>
      <c r="M39" s="1506"/>
      <c r="N39" s="1506"/>
      <c r="O39" s="1506"/>
      <c r="P39" s="1506"/>
      <c r="Q39" s="1506"/>
      <c r="R39" s="1506"/>
      <c r="S39" s="1506"/>
      <c r="T39" s="1506"/>
      <c r="U39" s="1506"/>
      <c r="V39" s="1506"/>
      <c r="W39" s="7"/>
      <c r="X39" s="7" t="str">
        <f>IF(D39&lt;&gt;"Leaf (if available)","",IF(COUNTA($F39:$V39)=18,1,0))</f>
        <v/>
      </c>
    </row>
    <row r="40" spans="1:24" ht="16.5" customHeight="1" thickTop="1" thickBot="1">
      <c r="A40" s="1503"/>
      <c r="B40" s="1505" t="s">
        <v>594</v>
      </c>
      <c r="C40" s="1504"/>
      <c r="D40" s="1504"/>
      <c r="E40" s="1648"/>
      <c r="F40" s="1506"/>
      <c r="G40" s="1506"/>
      <c r="H40" s="1506"/>
      <c r="I40" s="1506"/>
      <c r="J40" s="1506"/>
      <c r="K40" s="1506"/>
      <c r="L40" s="1506"/>
      <c r="M40" s="1506"/>
      <c r="N40" s="1506"/>
      <c r="O40" s="1506"/>
      <c r="P40" s="1506"/>
      <c r="Q40" s="1506"/>
      <c r="R40" s="1506"/>
      <c r="S40" s="1506"/>
      <c r="T40" s="1506"/>
      <c r="U40" s="1506"/>
      <c r="V40" s="1506"/>
      <c r="W40" s="7"/>
      <c r="X40" s="7" t="str">
        <f>IF(D40&lt;&gt;"Leaf (if available)","",IF(COUNTA($F40:$V40)=18,1,0))</f>
        <v/>
      </c>
    </row>
    <row r="41" spans="1:24" ht="16.5" customHeight="1" thickTop="1" thickBot="1">
      <c r="A41" s="1503"/>
      <c r="B41" s="1505" t="s">
        <v>595</v>
      </c>
      <c r="C41" s="1504"/>
      <c r="D41" s="1504"/>
      <c r="E41" s="1648"/>
      <c r="F41" s="1506"/>
      <c r="G41" s="1506"/>
      <c r="H41" s="1506"/>
      <c r="I41" s="1506"/>
      <c r="J41" s="1506"/>
      <c r="K41" s="1506"/>
      <c r="L41" s="1506"/>
      <c r="M41" s="1506"/>
      <c r="N41" s="1506"/>
      <c r="O41" s="1506"/>
      <c r="P41" s="1506"/>
      <c r="Q41" s="1506"/>
      <c r="R41" s="1506"/>
      <c r="S41" s="1506"/>
      <c r="T41" s="1506"/>
      <c r="U41" s="1506"/>
      <c r="V41" s="1506"/>
      <c r="W41" s="7"/>
      <c r="X41" s="7" t="str">
        <f>IF(D41&lt;&gt;"Leaf (if available)","",IF(COUNTA($F41:$V41)=18,1,0))</f>
        <v/>
      </c>
    </row>
    <row r="42" spans="1:24" ht="16.5" customHeight="1" thickTop="1" thickBot="1">
      <c r="A42" s="1503"/>
      <c r="B42" s="1505" t="s">
        <v>596</v>
      </c>
      <c r="C42" s="1504"/>
      <c r="D42" s="1504"/>
      <c r="E42" s="1648"/>
      <c r="F42" s="1506"/>
      <c r="G42" s="1506"/>
      <c r="H42" s="1506"/>
      <c r="I42" s="1506"/>
      <c r="J42" s="1506"/>
      <c r="K42" s="1506"/>
      <c r="L42" s="1506"/>
      <c r="M42" s="1506"/>
      <c r="N42" s="1506"/>
      <c r="O42" s="1506"/>
      <c r="P42" s="1506"/>
      <c r="Q42" s="1506"/>
      <c r="R42" s="1506"/>
      <c r="S42" s="1506"/>
      <c r="T42" s="1506"/>
      <c r="U42" s="1506"/>
      <c r="V42" s="1506"/>
      <c r="W42" s="7"/>
    </row>
    <row r="43" spans="1:24" ht="16.5" customHeight="1" thickTop="1" thickBot="1">
      <c r="A43" s="1503"/>
      <c r="B43" s="1505" t="s">
        <v>597</v>
      </c>
      <c r="C43" s="1504"/>
      <c r="D43" s="1504"/>
      <c r="E43" s="1648"/>
      <c r="F43" s="1506"/>
      <c r="G43" s="1506"/>
      <c r="H43" s="1506"/>
      <c r="I43" s="1506"/>
      <c r="J43" s="1506"/>
      <c r="K43" s="1506"/>
      <c r="L43" s="1506"/>
      <c r="M43" s="1506"/>
      <c r="N43" s="1506"/>
      <c r="O43" s="1506"/>
      <c r="P43" s="1506"/>
      <c r="Q43" s="1506"/>
      <c r="R43" s="1506"/>
      <c r="S43" s="1506"/>
      <c r="T43" s="1506"/>
      <c r="U43" s="1506"/>
      <c r="V43" s="1506"/>
      <c r="W43" s="7"/>
    </row>
    <row r="44" spans="1:24" ht="15" thickTop="1">
      <c r="C44"/>
      <c r="D44"/>
    </row>
    <row r="47" spans="1:24">
      <c r="C47"/>
      <c r="D47"/>
    </row>
    <row r="48" spans="1:24">
      <c r="C48"/>
      <c r="D48"/>
    </row>
  </sheetData>
  <sheetProtection algorithmName="SHA-512" hashValue="9PH2fxnpbKaqOJpUrKaH/4gEpZ2ziFWUnYQ9X0uDvc3shqVsDKaKSnlPOcE3XUneWzbDKozdpgDnXw2SE0wYHA==" saltValue="UdtIKkp2q4sdmQ1ZjSYWmg==" spinCount="100000" sheet="1" objects="1" scenarios="1"/>
  <phoneticPr fontId="41"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616317-D48D-40C8-B0CE-6FBF6B2C28AB}">
          <x14:formula1>
            <xm:f>'Data source'!$B$269:$B$270</xm:f>
          </x14:formula1>
          <xm:sqref>E34:E43 E28:E29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sheetPr>
  <dimension ref="A1:AQ77"/>
  <sheetViews>
    <sheetView topLeftCell="C1" zoomScale="80" zoomScaleNormal="80" workbookViewId="0">
      <selection activeCell="AE26" sqref="AE26"/>
    </sheetView>
  </sheetViews>
  <sheetFormatPr defaultColWidth="9.109375" defaultRowHeight="14.4"/>
  <cols>
    <col min="1" max="1" width="5.109375" style="7" customWidth="1"/>
    <col min="2" max="2" width="4" style="7" customWidth="1"/>
    <col min="3" max="3" width="7.44140625" style="7" customWidth="1"/>
    <col min="4" max="4" width="4.5546875" style="7" customWidth="1"/>
    <col min="5" max="5" width="13.5546875" style="8" customWidth="1"/>
    <col min="6" max="6" width="9.44140625" style="8" customWidth="1"/>
    <col min="7" max="7" width="4.5546875" style="7" customWidth="1"/>
    <col min="8" max="8" width="3.88671875" style="7" customWidth="1"/>
    <col min="9" max="9" width="3.109375" style="7" customWidth="1"/>
    <col min="10" max="10" width="6.44140625" style="7" customWidth="1"/>
    <col min="11" max="11" width="13.5546875" style="8" customWidth="1"/>
    <col min="12" max="12" width="7.44140625" style="7" customWidth="1"/>
    <col min="13" max="13" width="4.5546875" style="7" customWidth="1"/>
    <col min="14" max="14" width="4" style="7" customWidth="1"/>
    <col min="15" max="15" width="6" style="7" customWidth="1"/>
    <col min="16" max="16" width="6.5546875" style="7" customWidth="1"/>
    <col min="17" max="17" width="13.5546875" style="7" customWidth="1"/>
    <col min="18" max="18" width="10.88671875" style="7" customWidth="1"/>
    <col min="19" max="19" width="4.5546875" style="7" customWidth="1"/>
    <col min="20" max="20" width="3.88671875" style="7" customWidth="1"/>
    <col min="21" max="21" width="1.5546875" style="7" customWidth="1"/>
    <col min="22" max="22" width="10.5546875" style="7" customWidth="1"/>
    <col min="23" max="23" width="19.109375" style="7" customWidth="1"/>
    <col min="24" max="24" width="4.5546875" style="7" customWidth="1"/>
    <col min="25" max="25" width="25.5546875" style="8" customWidth="1"/>
    <col min="26" max="26" width="3.44140625" style="7" customWidth="1"/>
    <col min="27" max="27" width="8" style="7" customWidth="1"/>
    <col min="28" max="28" width="9.109375" style="7"/>
    <col min="29" max="29" width="4.88671875" style="7" customWidth="1"/>
    <col min="30" max="30" width="10.109375" style="7" customWidth="1"/>
    <col min="31" max="33" width="9.109375" style="7"/>
    <col min="34" max="34" width="4.5546875" style="7" customWidth="1"/>
    <col min="35" max="35" width="9.109375" style="7"/>
    <col min="36" max="36" width="3" style="7" customWidth="1"/>
    <col min="37" max="37" width="9.109375" style="7" customWidth="1"/>
    <col min="38" max="38" width="9.109375" style="8" customWidth="1"/>
    <col min="39" max="41" width="9.109375" style="7" customWidth="1"/>
    <col min="42" max="42" width="9.109375" style="8" customWidth="1"/>
    <col min="43" max="16384" width="9.109375" style="7"/>
  </cols>
  <sheetData>
    <row r="1" spans="1:43" ht="22.5" customHeight="1">
      <c r="A1" s="193"/>
      <c r="B1" s="381"/>
      <c r="C1" s="381"/>
      <c r="D1" s="193"/>
      <c r="E1" s="194"/>
      <c r="F1" s="194"/>
      <c r="G1" s="193"/>
      <c r="H1" s="193"/>
      <c r="I1" s="193"/>
      <c r="J1" s="193"/>
      <c r="K1" s="383" t="s">
        <v>104</v>
      </c>
      <c r="L1" s="193"/>
      <c r="M1" s="193"/>
      <c r="N1" s="193"/>
      <c r="O1" s="193"/>
      <c r="P1" s="193"/>
      <c r="Q1" s="333" t="s">
        <v>128</v>
      </c>
      <c r="R1" s="193"/>
      <c r="S1" s="193"/>
      <c r="T1" s="193"/>
      <c r="U1" s="193"/>
      <c r="V1" s="193"/>
      <c r="W1" s="275"/>
      <c r="X1" s="275"/>
      <c r="Y1" s="275"/>
      <c r="Z1" s="193"/>
      <c r="AA1" s="193"/>
      <c r="AB1" s="193"/>
      <c r="AC1" s="193"/>
      <c r="AD1" s="193"/>
      <c r="AE1" s="193"/>
      <c r="AF1" s="193"/>
      <c r="AG1" s="193"/>
      <c r="AH1" s="193"/>
      <c r="AI1" s="193"/>
      <c r="AJ1" s="193"/>
      <c r="AK1" s="193"/>
      <c r="AL1" s="193"/>
      <c r="AM1" s="193"/>
      <c r="AN1" s="193"/>
      <c r="AO1" s="193"/>
      <c r="AP1" s="193"/>
      <c r="AQ1" s="193"/>
    </row>
    <row r="2" spans="1:43" ht="28.5" customHeight="1">
      <c r="A2" s="193"/>
      <c r="B2" s="193"/>
      <c r="C2" s="767"/>
      <c r="D2" s="767"/>
      <c r="E2" s="768" t="s">
        <v>161</v>
      </c>
      <c r="F2" s="769"/>
      <c r="G2" s="193"/>
      <c r="H2" s="193"/>
      <c r="I2" s="193"/>
      <c r="J2" s="193"/>
      <c r="K2" s="766">
        <f ca="1">TODAY()</f>
        <v>45392</v>
      </c>
      <c r="L2" s="193"/>
      <c r="M2" s="193"/>
      <c r="N2" s="193"/>
      <c r="O2" s="193"/>
      <c r="P2" s="193"/>
      <c r="Q2" s="863"/>
      <c r="R2" s="193"/>
      <c r="S2" s="193"/>
      <c r="T2" s="193"/>
      <c r="U2" s="193"/>
      <c r="V2" s="193"/>
      <c r="W2" s="275"/>
      <c r="X2" s="275"/>
      <c r="Y2" s="275"/>
      <c r="Z2" s="193"/>
      <c r="AA2" s="193"/>
      <c r="AB2" s="193"/>
      <c r="AC2" s="193"/>
      <c r="AD2" s="193"/>
      <c r="AE2" s="193"/>
      <c r="AF2" s="193"/>
      <c r="AG2" s="193"/>
      <c r="AH2" s="193"/>
      <c r="AI2" s="193"/>
      <c r="AJ2" s="193"/>
      <c r="AK2" s="193"/>
      <c r="AL2" s="193"/>
      <c r="AM2" s="193"/>
      <c r="AN2" s="193"/>
      <c r="AO2" s="193"/>
      <c r="AP2" s="193"/>
      <c r="AQ2" s="193"/>
    </row>
    <row r="3" spans="1:43" ht="21" customHeight="1">
      <c r="A3" s="193"/>
      <c r="B3" s="382"/>
      <c r="C3" s="382"/>
      <c r="D3" s="382"/>
      <c r="E3" s="194"/>
      <c r="F3" s="194"/>
      <c r="G3" s="193"/>
      <c r="H3" s="193"/>
      <c r="I3" s="193"/>
      <c r="J3" s="193"/>
      <c r="K3" s="194"/>
      <c r="L3" s="193"/>
      <c r="M3" s="193"/>
      <c r="N3" s="193"/>
      <c r="O3" s="193"/>
      <c r="P3" s="193"/>
      <c r="Q3" s="193"/>
      <c r="R3" s="193"/>
      <c r="S3" s="193"/>
      <c r="T3" s="193"/>
      <c r="U3" s="193"/>
      <c r="V3" s="193"/>
      <c r="W3" s="193"/>
      <c r="X3" s="193"/>
      <c r="Y3" s="194"/>
      <c r="Z3" s="193"/>
      <c r="AA3" s="193"/>
      <c r="AB3" s="193"/>
      <c r="AC3" s="193"/>
      <c r="AD3" s="193"/>
      <c r="AE3" s="193"/>
      <c r="AF3" s="193"/>
      <c r="AG3" s="193"/>
      <c r="AH3" s="193"/>
      <c r="AI3" s="193"/>
      <c r="AJ3" s="193"/>
      <c r="AK3" s="193"/>
      <c r="AL3" s="193"/>
      <c r="AM3" s="193"/>
      <c r="AN3" s="193"/>
      <c r="AO3" s="193"/>
      <c r="AP3" s="193"/>
      <c r="AQ3" s="193"/>
    </row>
    <row r="4" spans="1:43" ht="10.5" customHeight="1">
      <c r="A4" s="193"/>
      <c r="B4" s="193"/>
      <c r="C4" s="193"/>
      <c r="D4" s="193"/>
      <c r="E4" s="194"/>
      <c r="F4" s="194"/>
      <c r="G4" s="193"/>
      <c r="H4" s="193"/>
      <c r="I4" s="193"/>
      <c r="J4" s="193"/>
      <c r="K4" s="194"/>
      <c r="L4" s="193"/>
      <c r="M4" s="193"/>
      <c r="N4" s="193"/>
      <c r="O4" s="193"/>
      <c r="P4" s="193"/>
      <c r="Q4" s="193"/>
      <c r="R4" s="193"/>
      <c r="S4" s="193"/>
      <c r="T4" s="193"/>
      <c r="U4" s="193"/>
      <c r="V4" s="193"/>
      <c r="W4" s="193"/>
      <c r="X4" s="193"/>
      <c r="Y4" s="194"/>
      <c r="Z4" s="193"/>
      <c r="AA4" s="193"/>
      <c r="AB4" s="193"/>
      <c r="AC4" s="193"/>
      <c r="AD4" s="193"/>
      <c r="AE4" s="193"/>
      <c r="AF4" s="193"/>
      <c r="AG4" s="193"/>
      <c r="AH4" s="193"/>
      <c r="AI4" s="193"/>
      <c r="AJ4" s="193"/>
      <c r="AK4" s="193"/>
      <c r="AL4" s="193"/>
      <c r="AM4" s="193"/>
      <c r="AN4" s="193"/>
      <c r="AO4" s="193"/>
      <c r="AP4" s="193"/>
      <c r="AQ4" s="193"/>
    </row>
    <row r="5" spans="1:43" ht="24" customHeight="1">
      <c r="A5" s="582"/>
      <c r="B5" s="1868" t="s">
        <v>177</v>
      </c>
      <c r="C5" s="1869"/>
      <c r="D5" s="1869"/>
      <c r="E5" s="1869"/>
      <c r="F5" s="1869"/>
      <c r="G5" s="577"/>
      <c r="H5" s="1870" t="s">
        <v>178</v>
      </c>
      <c r="I5" s="1870"/>
      <c r="J5" s="1870"/>
      <c r="K5" s="1870"/>
      <c r="L5" s="1870"/>
      <c r="M5" s="582"/>
      <c r="N5" s="1870" t="s">
        <v>108</v>
      </c>
      <c r="O5" s="1870"/>
      <c r="P5" s="1870"/>
      <c r="Q5" s="1870"/>
      <c r="R5" s="1870"/>
      <c r="S5" s="193"/>
      <c r="T5" s="1870" t="s">
        <v>319</v>
      </c>
      <c r="U5" s="1870"/>
      <c r="V5" s="1870"/>
      <c r="W5" s="1870"/>
      <c r="X5" s="1870"/>
      <c r="Y5" s="1870"/>
      <c r="Z5" s="1870"/>
      <c r="AA5" s="1870"/>
      <c r="AB5" s="582"/>
      <c r="AC5" s="193"/>
      <c r="AD5" s="193"/>
      <c r="AE5" s="193"/>
      <c r="AF5" s="193"/>
      <c r="AG5" s="193"/>
      <c r="AH5" s="193"/>
      <c r="AI5" s="193"/>
      <c r="AJ5" s="193"/>
      <c r="AK5" s="193"/>
      <c r="AL5" s="193"/>
      <c r="AM5" s="193"/>
      <c r="AN5" s="193"/>
      <c r="AO5" s="193"/>
      <c r="AP5" s="193"/>
      <c r="AQ5" s="193"/>
    </row>
    <row r="6" spans="1:43" ht="12" customHeight="1">
      <c r="A6" s="582"/>
      <c r="B6" s="667"/>
      <c r="C6" s="552"/>
      <c r="D6" s="577"/>
      <c r="E6" s="577"/>
      <c r="F6" s="577"/>
      <c r="G6" s="577"/>
      <c r="H6" s="667"/>
      <c r="I6" s="582"/>
      <c r="J6" s="582"/>
      <c r="K6" s="579"/>
      <c r="L6" s="579"/>
      <c r="M6" s="582"/>
      <c r="N6" s="667"/>
      <c r="O6" s="582"/>
      <c r="P6" s="582"/>
      <c r="Q6" s="582"/>
      <c r="R6" s="582"/>
      <c r="S6" s="193"/>
      <c r="T6" s="667"/>
      <c r="U6" s="582"/>
      <c r="V6" s="582"/>
      <c r="W6" s="582"/>
      <c r="X6" s="582"/>
      <c r="Y6" s="579"/>
      <c r="Z6" s="579"/>
      <c r="AA6" s="579"/>
      <c r="AB6" s="582"/>
      <c r="AC6" s="193"/>
      <c r="AD6" s="193"/>
      <c r="AE6" s="193"/>
      <c r="AF6" s="193"/>
      <c r="AG6" s="193"/>
      <c r="AH6" s="193"/>
      <c r="AI6" s="193"/>
      <c r="AJ6" s="193"/>
      <c r="AK6" s="193"/>
      <c r="AL6" s="193"/>
      <c r="AM6" s="193"/>
      <c r="AN6" s="193"/>
      <c r="AO6" s="193"/>
      <c r="AP6" s="193"/>
      <c r="AQ6" s="193"/>
    </row>
    <row r="7" spans="1:43" s="53" customFormat="1" ht="18.75" customHeight="1">
      <c r="A7" s="582"/>
      <c r="B7" s="667"/>
      <c r="C7" s="552"/>
      <c r="D7" s="577"/>
      <c r="E7" s="663" t="s">
        <v>340</v>
      </c>
      <c r="F7" s="665"/>
      <c r="G7" s="577"/>
      <c r="H7" s="667"/>
      <c r="I7" s="664"/>
      <c r="J7" s="664"/>
      <c r="K7" s="666" t="s">
        <v>291</v>
      </c>
      <c r="L7" s="665"/>
      <c r="M7" s="582"/>
      <c r="N7" s="667"/>
      <c r="O7" s="664"/>
      <c r="P7" s="664"/>
      <c r="Q7" s="663" t="s">
        <v>341</v>
      </c>
      <c r="R7" s="664"/>
      <c r="S7" s="317"/>
      <c r="T7" s="667"/>
      <c r="U7" s="664"/>
      <c r="V7" s="662"/>
      <c r="W7" s="663" t="s">
        <v>339</v>
      </c>
      <c r="X7" s="664"/>
      <c r="Y7" s="663" t="s">
        <v>182</v>
      </c>
      <c r="Z7" s="665"/>
      <c r="AA7" s="663" t="s">
        <v>162</v>
      </c>
      <c r="AB7" s="582"/>
      <c r="AC7" s="193"/>
      <c r="AD7" s="193"/>
      <c r="AE7" s="193"/>
      <c r="AF7" s="193"/>
      <c r="AG7" s="193"/>
      <c r="AH7" s="193"/>
      <c r="AI7" s="193"/>
      <c r="AJ7" s="193"/>
      <c r="AK7" s="193"/>
      <c r="AL7" s="193"/>
      <c r="AM7" s="193"/>
      <c r="AN7" s="193"/>
      <c r="AO7" s="193"/>
      <c r="AP7" s="193"/>
      <c r="AQ7" s="193"/>
    </row>
    <row r="8" spans="1:43" ht="22.5" customHeight="1">
      <c r="A8" s="582"/>
      <c r="B8" s="667"/>
      <c r="C8" s="552"/>
      <c r="D8" s="552"/>
      <c r="E8" s="791">
        <v>100</v>
      </c>
      <c r="F8" s="75"/>
      <c r="G8" s="577"/>
      <c r="H8" s="667"/>
      <c r="I8" s="582"/>
      <c r="J8" s="582"/>
      <c r="K8" s="777" t="s">
        <v>70</v>
      </c>
      <c r="L8" s="581" t="s">
        <v>189</v>
      </c>
      <c r="M8" s="582"/>
      <c r="N8" s="667"/>
      <c r="O8" s="582"/>
      <c r="P8" s="582"/>
      <c r="Q8" s="791">
        <v>90</v>
      </c>
      <c r="R8" s="582"/>
      <c r="S8" s="387"/>
      <c r="T8" s="734"/>
      <c r="U8" s="582"/>
      <c r="V8" s="762" t="s">
        <v>129</v>
      </c>
      <c r="W8" s="776" t="s">
        <v>332</v>
      </c>
      <c r="X8" s="581" t="s">
        <v>189</v>
      </c>
      <c r="Y8" s="776" t="s">
        <v>88</v>
      </c>
      <c r="Z8" s="581" t="s">
        <v>189</v>
      </c>
      <c r="AA8" s="792">
        <v>14</v>
      </c>
      <c r="AB8" s="582"/>
      <c r="AC8" s="193"/>
      <c r="AD8" s="886"/>
      <c r="AE8" s="887"/>
      <c r="AF8" s="887"/>
      <c r="AG8" s="888" t="s">
        <v>158</v>
      </c>
      <c r="AH8" s="889"/>
      <c r="AI8" s="890"/>
      <c r="AJ8" s="193"/>
      <c r="AK8" s="193"/>
      <c r="AL8" s="193"/>
      <c r="AM8" s="193"/>
      <c r="AN8" s="193"/>
      <c r="AO8" s="193"/>
      <c r="AP8" s="193"/>
      <c r="AQ8" s="193"/>
    </row>
    <row r="9" spans="1:43" ht="10.5" customHeight="1">
      <c r="A9" s="582"/>
      <c r="B9" s="667"/>
      <c r="C9" s="552"/>
      <c r="D9" s="577"/>
      <c r="E9" s="579"/>
      <c r="F9" s="579"/>
      <c r="G9" s="577"/>
      <c r="H9" s="667"/>
      <c r="I9" s="582"/>
      <c r="J9" s="582"/>
      <c r="K9" s="579"/>
      <c r="L9" s="579"/>
      <c r="M9" s="582"/>
      <c r="N9" s="667"/>
      <c r="O9" s="582"/>
      <c r="P9" s="582"/>
      <c r="Q9" s="582"/>
      <c r="R9" s="582"/>
      <c r="S9" s="193"/>
      <c r="T9" s="667"/>
      <c r="U9" s="582"/>
      <c r="V9" s="582"/>
      <c r="W9" s="582"/>
      <c r="X9" s="582"/>
      <c r="Y9" s="579"/>
      <c r="Z9" s="579"/>
      <c r="AA9" s="579"/>
      <c r="AB9" s="582"/>
      <c r="AC9" s="193"/>
      <c r="AD9" s="170"/>
      <c r="AG9" s="8"/>
      <c r="AH9" s="8"/>
      <c r="AI9" s="172"/>
      <c r="AJ9" s="193"/>
      <c r="AK9" s="193"/>
      <c r="AL9" s="193"/>
      <c r="AM9" s="193"/>
      <c r="AN9" s="193"/>
      <c r="AO9" s="193"/>
      <c r="AP9" s="193"/>
      <c r="AQ9" s="193"/>
    </row>
    <row r="10" spans="1:43" s="53" customFormat="1" ht="17.25" customHeight="1">
      <c r="A10" s="582"/>
      <c r="B10" s="667"/>
      <c r="C10" s="552"/>
      <c r="D10" s="577"/>
      <c r="E10" s="663" t="s">
        <v>342</v>
      </c>
      <c r="F10" s="665"/>
      <c r="G10" s="577"/>
      <c r="H10" s="667"/>
      <c r="I10" s="664"/>
      <c r="J10" s="664"/>
      <c r="K10" s="663" t="s">
        <v>352</v>
      </c>
      <c r="L10" s="665"/>
      <c r="M10" s="582"/>
      <c r="N10" s="667"/>
      <c r="O10" s="664"/>
      <c r="P10" s="664"/>
      <c r="Q10" s="663" t="s">
        <v>343</v>
      </c>
      <c r="R10" s="664"/>
      <c r="S10" s="317"/>
      <c r="T10" s="667"/>
      <c r="U10" s="664"/>
      <c r="V10" s="662"/>
      <c r="W10" s="663"/>
      <c r="X10" s="664"/>
      <c r="Y10" s="663"/>
      <c r="Z10" s="665"/>
      <c r="AA10" s="665"/>
      <c r="AB10" s="582"/>
      <c r="AC10" s="317"/>
      <c r="AD10" s="891"/>
      <c r="AE10" s="94"/>
      <c r="AF10" s="94"/>
      <c r="AG10" s="865" t="s">
        <v>159</v>
      </c>
      <c r="AH10" s="866"/>
      <c r="AI10" s="892" t="s">
        <v>156</v>
      </c>
      <c r="AJ10" s="193"/>
      <c r="AK10" s="193"/>
      <c r="AL10" s="193"/>
      <c r="AM10" s="193"/>
      <c r="AN10" s="193"/>
      <c r="AO10" s="193"/>
      <c r="AP10" s="193"/>
      <c r="AQ10" s="193"/>
    </row>
    <row r="11" spans="1:43" ht="22.5" customHeight="1">
      <c r="A11" s="582"/>
      <c r="B11" s="667"/>
      <c r="C11" s="552"/>
      <c r="D11" s="552"/>
      <c r="E11" s="777" t="s">
        <v>37</v>
      </c>
      <c r="F11" s="579"/>
      <c r="G11" s="577"/>
      <c r="H11" s="667"/>
      <c r="I11" s="582"/>
      <c r="J11" s="582"/>
      <c r="K11" s="776">
        <v>600</v>
      </c>
      <c r="L11" s="581" t="s">
        <v>189</v>
      </c>
      <c r="M11" s="582"/>
      <c r="N11" s="667"/>
      <c r="O11" s="582"/>
      <c r="P11" s="582"/>
      <c r="Q11" s="792">
        <v>3</v>
      </c>
      <c r="R11" s="582"/>
      <c r="S11" s="387"/>
      <c r="T11" s="734"/>
      <c r="U11" s="582"/>
      <c r="V11" s="762" t="s">
        <v>130</v>
      </c>
      <c r="W11" s="776" t="s">
        <v>286</v>
      </c>
      <c r="X11" s="581" t="s">
        <v>189</v>
      </c>
      <c r="Y11" s="776" t="s">
        <v>4</v>
      </c>
      <c r="Z11" s="581" t="s">
        <v>189</v>
      </c>
      <c r="AA11" s="792">
        <v>10</v>
      </c>
      <c r="AB11" s="582"/>
      <c r="AC11" s="193"/>
      <c r="AD11" s="170"/>
      <c r="AE11" s="53"/>
      <c r="AF11" s="53"/>
      <c r="AG11" s="867" t="s">
        <v>237</v>
      </c>
      <c r="AH11" s="868"/>
      <c r="AI11" s="893"/>
      <c r="AJ11" s="193"/>
      <c r="AK11" s="193"/>
      <c r="AL11" s="193"/>
      <c r="AM11" s="193"/>
      <c r="AN11" s="193"/>
      <c r="AO11" s="193"/>
      <c r="AP11" s="193"/>
      <c r="AQ11" s="193"/>
    </row>
    <row r="12" spans="1:43" ht="18.75" customHeight="1">
      <c r="A12" s="582"/>
      <c r="B12" s="667"/>
      <c r="C12" s="552"/>
      <c r="D12" s="552"/>
      <c r="E12" s="193"/>
      <c r="F12" s="579"/>
      <c r="G12" s="577"/>
      <c r="H12" s="667"/>
      <c r="I12" s="582"/>
      <c r="J12" s="582"/>
      <c r="K12" s="579"/>
      <c r="L12" s="579"/>
      <c r="M12" s="582"/>
      <c r="N12" s="667"/>
      <c r="O12" s="582"/>
      <c r="P12" s="582"/>
      <c r="Q12" s="582"/>
      <c r="R12" s="582"/>
      <c r="S12" s="193"/>
      <c r="T12" s="667"/>
      <c r="U12" s="582"/>
      <c r="V12" s="582"/>
      <c r="W12" s="582"/>
      <c r="X12" s="582"/>
      <c r="Y12" s="579"/>
      <c r="Z12" s="579"/>
      <c r="AA12" s="579"/>
      <c r="AB12" s="582"/>
      <c r="AC12" s="193"/>
      <c r="AD12" s="891"/>
      <c r="AE12" s="94"/>
      <c r="AF12" s="94"/>
      <c r="AG12" s="865" t="s">
        <v>246</v>
      </c>
      <c r="AH12" s="105"/>
      <c r="AI12" s="894" t="s">
        <v>189</v>
      </c>
      <c r="AJ12" s="193"/>
      <c r="AK12" s="193"/>
      <c r="AL12" s="193"/>
      <c r="AM12" s="193"/>
      <c r="AN12" s="193"/>
      <c r="AO12" s="193"/>
      <c r="AP12" s="193"/>
      <c r="AQ12" s="193"/>
    </row>
    <row r="13" spans="1:43" s="53" customFormat="1" ht="16.5" customHeight="1">
      <c r="A13" s="582"/>
      <c r="B13" s="667"/>
      <c r="C13" s="552"/>
      <c r="D13" s="577"/>
      <c r="E13" s="663" t="s">
        <v>349</v>
      </c>
      <c r="F13" s="665"/>
      <c r="G13" s="577"/>
      <c r="H13" s="667"/>
      <c r="I13" s="664"/>
      <c r="J13" s="664"/>
      <c r="K13" s="663" t="s">
        <v>290</v>
      </c>
      <c r="L13" s="665"/>
      <c r="M13" s="582"/>
      <c r="N13" s="667"/>
      <c r="O13" s="664"/>
      <c r="P13" s="664"/>
      <c r="Q13" s="663" t="s">
        <v>344</v>
      </c>
      <c r="R13" s="664"/>
      <c r="S13" s="317"/>
      <c r="T13" s="667"/>
      <c r="U13" s="664"/>
      <c r="V13" s="662"/>
      <c r="W13" s="663"/>
      <c r="X13" s="664"/>
      <c r="Y13" s="663"/>
      <c r="Z13" s="665"/>
      <c r="AA13" s="665"/>
      <c r="AB13" s="582"/>
      <c r="AC13" s="317"/>
      <c r="AD13" s="173"/>
      <c r="AE13" s="174"/>
      <c r="AF13" s="174"/>
      <c r="AG13" s="174"/>
      <c r="AH13" s="174"/>
      <c r="AI13" s="175"/>
      <c r="AJ13" s="193"/>
      <c r="AK13" s="193"/>
      <c r="AL13" s="193"/>
      <c r="AM13" s="193"/>
      <c r="AN13" s="193"/>
      <c r="AO13" s="193"/>
      <c r="AP13" s="193"/>
      <c r="AQ13" s="193"/>
    </row>
    <row r="14" spans="1:43" ht="22.5" customHeight="1">
      <c r="A14" s="582"/>
      <c r="B14" s="667"/>
      <c r="C14" s="552"/>
      <c r="D14" s="552"/>
      <c r="E14" s="863">
        <v>42917</v>
      </c>
      <c r="F14" s="770" t="s">
        <v>407</v>
      </c>
      <c r="G14" s="577"/>
      <c r="H14" s="667"/>
      <c r="I14" s="582"/>
      <c r="J14" s="582"/>
      <c r="K14" s="776" t="s">
        <v>356</v>
      </c>
      <c r="L14" s="581" t="s">
        <v>189</v>
      </c>
      <c r="M14" s="582"/>
      <c r="N14" s="667"/>
      <c r="O14" s="582"/>
      <c r="P14" s="582"/>
      <c r="Q14" s="791">
        <v>2400</v>
      </c>
      <c r="R14" s="582"/>
      <c r="S14" s="387"/>
      <c r="T14" s="734"/>
      <c r="U14" s="582"/>
      <c r="V14" s="762" t="s">
        <v>131</v>
      </c>
      <c r="W14" s="776" t="s">
        <v>335</v>
      </c>
      <c r="X14" s="581" t="s">
        <v>189</v>
      </c>
      <c r="Y14" s="776" t="s">
        <v>14</v>
      </c>
      <c r="Z14" s="581" t="s">
        <v>189</v>
      </c>
      <c r="AA14" s="792">
        <v>20</v>
      </c>
      <c r="AB14" s="582"/>
      <c r="AC14" s="193"/>
      <c r="AD14" s="193"/>
      <c r="AE14" s="193"/>
      <c r="AF14" s="193"/>
      <c r="AG14" s="193"/>
      <c r="AH14" s="193"/>
      <c r="AI14" s="193"/>
      <c r="AJ14" s="193"/>
      <c r="AK14" s="193"/>
      <c r="AL14" s="193"/>
      <c r="AM14" s="193"/>
      <c r="AN14" s="193"/>
      <c r="AO14" s="193"/>
      <c r="AP14" s="193"/>
      <c r="AQ14" s="193"/>
    </row>
    <row r="15" spans="1:43" ht="11.25" customHeight="1">
      <c r="A15" s="582"/>
      <c r="B15" s="667"/>
      <c r="C15" s="552"/>
      <c r="D15" s="552"/>
      <c r="E15" s="193"/>
      <c r="F15" s="579"/>
      <c r="G15" s="577"/>
      <c r="H15" s="667"/>
      <c r="I15" s="582"/>
      <c r="J15" s="582"/>
      <c r="K15" s="194"/>
      <c r="L15" s="579"/>
      <c r="M15" s="582"/>
      <c r="N15" s="667"/>
      <c r="O15" s="582"/>
      <c r="P15" s="582"/>
      <c r="Q15" s="582"/>
      <c r="R15" s="582"/>
      <c r="S15" s="193"/>
      <c r="T15" s="667"/>
      <c r="U15" s="582"/>
      <c r="V15" s="582"/>
      <c r="W15" s="582"/>
      <c r="X15" s="582"/>
      <c r="Y15" s="579"/>
      <c r="Z15" s="579"/>
      <c r="AA15" s="579"/>
      <c r="AB15" s="582"/>
      <c r="AC15" s="193"/>
      <c r="AD15" s="193"/>
      <c r="AE15" s="193"/>
      <c r="AF15" s="193"/>
      <c r="AG15" s="193"/>
      <c r="AH15" s="193"/>
      <c r="AI15" s="193"/>
      <c r="AJ15" s="193"/>
      <c r="AK15" s="193"/>
      <c r="AL15" s="193"/>
      <c r="AM15" s="193"/>
      <c r="AN15" s="193"/>
      <c r="AO15" s="193"/>
      <c r="AP15" s="193"/>
      <c r="AQ15" s="193"/>
    </row>
    <row r="16" spans="1:43" s="53" customFormat="1" ht="18.75" customHeight="1">
      <c r="A16" s="582"/>
      <c r="B16" s="667"/>
      <c r="C16" s="552"/>
      <c r="D16" s="552"/>
      <c r="E16" s="552"/>
      <c r="F16" s="552"/>
      <c r="G16" s="577"/>
      <c r="H16" s="667"/>
      <c r="I16" s="664"/>
      <c r="J16" s="664"/>
      <c r="K16" s="764" t="s">
        <v>353</v>
      </c>
      <c r="L16" s="665"/>
      <c r="M16" s="582"/>
      <c r="N16" s="667"/>
      <c r="O16" s="664"/>
      <c r="P16" s="664"/>
      <c r="Q16" s="663"/>
      <c r="R16" s="664"/>
      <c r="S16" s="317"/>
      <c r="T16" s="667"/>
      <c r="U16" s="664"/>
      <c r="V16" s="662"/>
      <c r="W16" s="663"/>
      <c r="X16" s="664"/>
      <c r="Y16" s="663"/>
      <c r="Z16" s="665"/>
      <c r="AA16" s="665"/>
      <c r="AB16" s="582"/>
      <c r="AC16" s="317"/>
      <c r="AD16" s="317"/>
      <c r="AE16" s="317"/>
      <c r="AF16" s="317"/>
      <c r="AG16" s="317"/>
      <c r="AH16" s="317"/>
      <c r="AI16" s="317"/>
      <c r="AJ16" s="193"/>
      <c r="AK16" s="193"/>
      <c r="AL16" s="193"/>
      <c r="AM16" s="193"/>
      <c r="AN16" s="193"/>
      <c r="AO16" s="193"/>
      <c r="AP16" s="193"/>
      <c r="AQ16" s="193"/>
    </row>
    <row r="17" spans="1:43" s="53" customFormat="1" ht="21.75" customHeight="1">
      <c r="A17" s="664"/>
      <c r="B17" s="667"/>
      <c r="C17" s="552"/>
      <c r="D17" s="552"/>
      <c r="E17" s="552"/>
      <c r="F17" s="552"/>
      <c r="G17" s="577"/>
      <c r="H17" s="667"/>
      <c r="I17" s="664"/>
      <c r="J17" s="664"/>
      <c r="K17" s="791">
        <v>330</v>
      </c>
      <c r="L17" s="665"/>
      <c r="M17" s="664"/>
      <c r="N17" s="667"/>
      <c r="O17" s="664"/>
      <c r="P17" s="664"/>
      <c r="Q17" s="663"/>
      <c r="R17" s="664"/>
      <c r="S17" s="771"/>
      <c r="T17" s="734"/>
      <c r="U17" s="664"/>
      <c r="V17" s="662" t="s">
        <v>132</v>
      </c>
      <c r="W17" s="776" t="s">
        <v>336</v>
      </c>
      <c r="X17" s="770" t="s">
        <v>189</v>
      </c>
      <c r="Y17" s="776" t="s">
        <v>0</v>
      </c>
      <c r="Z17" s="581" t="s">
        <v>189</v>
      </c>
      <c r="AA17" s="792">
        <v>5</v>
      </c>
      <c r="AB17" s="664"/>
      <c r="AC17" s="317"/>
      <c r="AD17" s="317"/>
      <c r="AE17" s="317"/>
      <c r="AF17" s="317"/>
      <c r="AG17" s="317"/>
      <c r="AH17" s="317"/>
      <c r="AI17" s="317"/>
      <c r="AJ17" s="193"/>
      <c r="AK17" s="193"/>
      <c r="AL17" s="193"/>
      <c r="AM17" s="193"/>
      <c r="AN17" s="193"/>
      <c r="AO17" s="193"/>
      <c r="AP17" s="193"/>
      <c r="AQ17" s="193"/>
    </row>
    <row r="18" spans="1:43" ht="7.5" customHeight="1">
      <c r="A18" s="582"/>
      <c r="B18" s="667"/>
      <c r="C18" s="552"/>
      <c r="D18" s="552"/>
      <c r="E18" s="579"/>
      <c r="F18" s="579"/>
      <c r="G18" s="577"/>
      <c r="H18" s="667"/>
      <c r="I18" s="582"/>
      <c r="J18" s="582"/>
      <c r="K18" s="275"/>
      <c r="L18" s="579"/>
      <c r="M18" s="582"/>
      <c r="N18" s="667"/>
      <c r="O18" s="582"/>
      <c r="P18" s="582"/>
      <c r="Q18" s="580"/>
      <c r="R18" s="582"/>
      <c r="S18" s="193"/>
      <c r="T18" s="667"/>
      <c r="U18" s="582"/>
      <c r="V18" s="582"/>
      <c r="W18" s="582"/>
      <c r="X18" s="582"/>
      <c r="Y18" s="579"/>
      <c r="Z18" s="579"/>
      <c r="AA18" s="579"/>
      <c r="AB18" s="582"/>
      <c r="AC18" s="193"/>
      <c r="AD18" s="193"/>
      <c r="AE18" s="193"/>
      <c r="AF18" s="193"/>
      <c r="AG18" s="193"/>
      <c r="AH18" s="193"/>
      <c r="AI18" s="193"/>
      <c r="AJ18" s="193"/>
      <c r="AK18" s="193"/>
      <c r="AL18" s="193"/>
      <c r="AM18" s="193"/>
      <c r="AN18" s="193"/>
      <c r="AO18" s="193"/>
      <c r="AP18" s="193"/>
      <c r="AQ18" s="193"/>
    </row>
    <row r="19" spans="1:43" s="53" customFormat="1" ht="20.25" customHeight="1">
      <c r="A19" s="582"/>
      <c r="B19" s="667"/>
      <c r="C19" s="552"/>
      <c r="D19" s="552"/>
      <c r="E19" s="665"/>
      <c r="F19" s="665"/>
      <c r="G19" s="577"/>
      <c r="H19" s="667"/>
      <c r="I19" s="664"/>
      <c r="J19" s="664"/>
      <c r="K19" s="663" t="s">
        <v>345</v>
      </c>
      <c r="L19" s="665"/>
      <c r="M19" s="582"/>
      <c r="N19" s="667"/>
      <c r="O19" s="664"/>
      <c r="P19" s="664"/>
      <c r="Q19" s="663"/>
      <c r="R19" s="664"/>
      <c r="S19" s="317"/>
      <c r="T19" s="667"/>
      <c r="U19" s="664"/>
      <c r="V19" s="668"/>
      <c r="W19" s="663"/>
      <c r="X19" s="664"/>
      <c r="Y19" s="663"/>
      <c r="Z19" s="665"/>
      <c r="AA19" s="665"/>
      <c r="AB19" s="582"/>
      <c r="AC19" s="317"/>
      <c r="AD19" s="317"/>
      <c r="AE19" s="317"/>
      <c r="AF19" s="317"/>
      <c r="AG19" s="317"/>
      <c r="AH19" s="317"/>
      <c r="AI19" s="317"/>
      <c r="AJ19" s="193"/>
      <c r="AK19" s="193"/>
      <c r="AL19" s="193"/>
      <c r="AM19" s="193"/>
      <c r="AN19" s="193"/>
      <c r="AO19" s="193"/>
      <c r="AP19" s="193"/>
      <c r="AQ19" s="193"/>
    </row>
    <row r="20" spans="1:43" ht="22.5" customHeight="1">
      <c r="A20" s="582"/>
      <c r="B20" s="667"/>
      <c r="C20" s="552"/>
      <c r="D20" s="552"/>
      <c r="E20" s="579"/>
      <c r="F20" s="579"/>
      <c r="G20" s="577"/>
      <c r="H20" s="667"/>
      <c r="I20" s="582"/>
      <c r="J20" s="582"/>
      <c r="K20" s="791">
        <v>280</v>
      </c>
      <c r="L20" s="579"/>
      <c r="M20" s="582"/>
      <c r="N20" s="667"/>
      <c r="O20" s="582"/>
      <c r="P20" s="582"/>
      <c r="Q20" s="580"/>
      <c r="R20" s="583"/>
      <c r="S20" s="386"/>
      <c r="T20" s="734"/>
      <c r="U20" s="582"/>
      <c r="V20" s="762" t="s">
        <v>133</v>
      </c>
      <c r="W20" s="776" t="s">
        <v>287</v>
      </c>
      <c r="X20" s="581" t="s">
        <v>189</v>
      </c>
      <c r="Y20" s="776" t="s">
        <v>362</v>
      </c>
      <c r="Z20" s="581" t="s">
        <v>189</v>
      </c>
      <c r="AA20" s="792">
        <v>0.2</v>
      </c>
      <c r="AB20" s="582"/>
      <c r="AC20" s="193"/>
      <c r="AD20" s="193"/>
      <c r="AE20" s="193"/>
      <c r="AF20" s="193"/>
      <c r="AG20" s="193"/>
      <c r="AH20" s="193"/>
      <c r="AI20" s="193"/>
      <c r="AJ20" s="193"/>
      <c r="AK20" s="193"/>
      <c r="AL20" s="193"/>
      <c r="AM20" s="193"/>
      <c r="AN20" s="193"/>
      <c r="AO20" s="193"/>
      <c r="AP20" s="193"/>
      <c r="AQ20" s="193"/>
    </row>
    <row r="21" spans="1:43" ht="9.75" customHeight="1">
      <c r="A21" s="582"/>
      <c r="B21" s="667"/>
      <c r="C21" s="552"/>
      <c r="D21" s="552"/>
      <c r="E21" s="579"/>
      <c r="F21" s="579"/>
      <c r="G21" s="577"/>
      <c r="H21" s="667"/>
      <c r="I21" s="582"/>
      <c r="J21" s="582"/>
      <c r="K21" s="579"/>
      <c r="L21" s="579"/>
      <c r="M21" s="582"/>
      <c r="N21" s="667"/>
      <c r="O21" s="582"/>
      <c r="P21" s="582"/>
      <c r="Q21" s="580"/>
      <c r="R21" s="582"/>
      <c r="S21" s="193"/>
      <c r="T21" s="667"/>
      <c r="U21" s="582"/>
      <c r="V21" s="582"/>
      <c r="W21" s="582"/>
      <c r="X21" s="582"/>
      <c r="Y21" s="579"/>
      <c r="Z21" s="579"/>
      <c r="AA21" s="579"/>
      <c r="AB21" s="582"/>
      <c r="AC21" s="193"/>
      <c r="AD21" s="193"/>
      <c r="AE21" s="193"/>
      <c r="AF21" s="193"/>
      <c r="AG21" s="193"/>
      <c r="AH21" s="193"/>
      <c r="AI21" s="193"/>
      <c r="AJ21" s="193"/>
      <c r="AK21" s="193"/>
      <c r="AL21" s="193"/>
      <c r="AM21" s="193"/>
      <c r="AN21" s="193"/>
      <c r="AO21" s="193"/>
      <c r="AP21" s="193"/>
      <c r="AQ21" s="193"/>
    </row>
    <row r="22" spans="1:43" ht="17.25" customHeight="1">
      <c r="A22" s="582"/>
      <c r="B22" s="667"/>
      <c r="C22" s="552"/>
      <c r="D22" s="552"/>
      <c r="E22" s="579"/>
      <c r="F22" s="579"/>
      <c r="G22" s="577"/>
      <c r="H22" s="667"/>
      <c r="I22" s="582"/>
      <c r="J22" s="582"/>
      <c r="K22" s="663" t="s">
        <v>137</v>
      </c>
      <c r="L22" s="579"/>
      <c r="M22" s="582"/>
      <c r="N22" s="667"/>
      <c r="O22" s="582"/>
      <c r="P22" s="582"/>
      <c r="Q22" s="578"/>
      <c r="R22" s="582"/>
      <c r="S22" s="193"/>
      <c r="T22" s="667"/>
      <c r="U22" s="582"/>
      <c r="V22" s="668"/>
      <c r="W22" s="580"/>
      <c r="X22" s="582"/>
      <c r="Y22" s="580"/>
      <c r="Z22" s="579"/>
      <c r="AA22" s="579"/>
      <c r="AB22" s="582"/>
      <c r="AC22" s="193"/>
      <c r="AD22" s="193"/>
      <c r="AE22" s="193"/>
      <c r="AF22" s="193"/>
      <c r="AG22" s="193"/>
      <c r="AH22" s="193"/>
      <c r="AI22" s="193"/>
      <c r="AJ22" s="193"/>
      <c r="AK22" s="193"/>
      <c r="AL22" s="193"/>
      <c r="AM22" s="193"/>
      <c r="AN22" s="193"/>
      <c r="AO22" s="193"/>
      <c r="AP22" s="193"/>
      <c r="AQ22" s="193"/>
    </row>
    <row r="23" spans="1:43" s="53" customFormat="1" ht="23.25" customHeight="1">
      <c r="A23" s="664"/>
      <c r="B23" s="667"/>
      <c r="C23" s="552"/>
      <c r="D23" s="552"/>
      <c r="E23" s="665"/>
      <c r="F23" s="665"/>
      <c r="G23" s="577"/>
      <c r="H23" s="667"/>
      <c r="I23" s="664"/>
      <c r="J23" s="664"/>
      <c r="K23" s="777">
        <v>4</v>
      </c>
      <c r="L23" s="665"/>
      <c r="M23" s="664"/>
      <c r="N23" s="667"/>
      <c r="O23" s="664"/>
      <c r="P23" s="664"/>
      <c r="Q23" s="664"/>
      <c r="R23" s="664"/>
      <c r="S23" s="317"/>
      <c r="T23" s="734"/>
      <c r="U23" s="664"/>
      <c r="V23" s="662" t="s">
        <v>134</v>
      </c>
      <c r="W23" s="776" t="s">
        <v>286</v>
      </c>
      <c r="X23" s="770" t="s">
        <v>189</v>
      </c>
      <c r="Y23" s="776" t="s">
        <v>20</v>
      </c>
      <c r="Z23" s="581" t="s">
        <v>189</v>
      </c>
      <c r="AA23" s="792">
        <v>8</v>
      </c>
      <c r="AB23" s="664"/>
      <c r="AC23" s="317"/>
      <c r="AD23" s="317"/>
      <c r="AE23" s="317"/>
      <c r="AF23" s="317"/>
      <c r="AG23" s="317"/>
      <c r="AH23" s="317"/>
      <c r="AI23" s="317"/>
      <c r="AJ23" s="193"/>
      <c r="AK23" s="193"/>
      <c r="AL23" s="193"/>
      <c r="AM23" s="193"/>
      <c r="AN23" s="193"/>
      <c r="AO23" s="193"/>
      <c r="AP23" s="193"/>
      <c r="AQ23" s="193"/>
    </row>
    <row r="24" spans="1:43" ht="9" customHeight="1">
      <c r="A24" s="582"/>
      <c r="B24" s="667"/>
      <c r="C24" s="552"/>
      <c r="D24" s="552"/>
      <c r="E24" s="579"/>
      <c r="F24" s="579"/>
      <c r="G24" s="577"/>
      <c r="H24" s="667"/>
      <c r="I24" s="582"/>
      <c r="J24" s="582"/>
      <c r="K24" s="582"/>
      <c r="L24" s="579"/>
      <c r="M24" s="582"/>
      <c r="N24" s="667"/>
      <c r="O24" s="582"/>
      <c r="P24" s="582"/>
      <c r="Q24" s="582"/>
      <c r="R24" s="582"/>
      <c r="S24" s="193"/>
      <c r="T24" s="667"/>
      <c r="U24" s="582"/>
      <c r="V24" s="582"/>
      <c r="W24" s="582"/>
      <c r="X24" s="582"/>
      <c r="Y24" s="194"/>
      <c r="Z24" s="579"/>
      <c r="AA24" s="579"/>
      <c r="AB24" s="582"/>
      <c r="AC24" s="193"/>
      <c r="AD24" s="193"/>
      <c r="AE24" s="193"/>
      <c r="AF24" s="193"/>
      <c r="AG24" s="193"/>
      <c r="AH24" s="193"/>
      <c r="AI24" s="193"/>
      <c r="AJ24" s="193"/>
      <c r="AK24" s="193"/>
      <c r="AL24" s="193"/>
      <c r="AM24" s="193"/>
      <c r="AN24" s="193"/>
      <c r="AO24" s="193"/>
      <c r="AP24" s="193"/>
      <c r="AQ24" s="193"/>
    </row>
    <row r="25" spans="1:43" ht="22.5" customHeight="1">
      <c r="A25" s="582"/>
      <c r="B25" s="667"/>
      <c r="C25" s="552"/>
      <c r="D25" s="552"/>
      <c r="E25" s="582"/>
      <c r="F25" s="579"/>
      <c r="G25" s="577"/>
      <c r="H25" s="667"/>
      <c r="I25" s="582"/>
      <c r="J25" s="582"/>
      <c r="K25" s="579"/>
      <c r="L25" s="582"/>
      <c r="M25" s="582"/>
      <c r="N25" s="667"/>
      <c r="O25" s="582"/>
      <c r="P25" s="582"/>
      <c r="Q25" s="582"/>
      <c r="R25" s="582"/>
      <c r="S25" s="193"/>
      <c r="T25" s="667"/>
      <c r="U25" s="582"/>
      <c r="V25" s="668"/>
      <c r="W25" s="580"/>
      <c r="X25" s="582"/>
      <c r="Y25" s="580"/>
      <c r="Z25" s="579"/>
      <c r="AA25" s="579"/>
      <c r="AB25" s="582"/>
      <c r="AC25" s="193"/>
      <c r="AD25" s="193"/>
      <c r="AE25" s="193"/>
      <c r="AF25" s="193"/>
      <c r="AG25" s="193"/>
      <c r="AH25" s="193"/>
      <c r="AI25" s="193"/>
      <c r="AJ25" s="193"/>
      <c r="AK25" s="193"/>
      <c r="AL25" s="193"/>
      <c r="AM25" s="193"/>
      <c r="AN25" s="193"/>
      <c r="AO25" s="193"/>
      <c r="AP25" s="193"/>
      <c r="AQ25" s="193"/>
    </row>
    <row r="26" spans="1:43" ht="22.5" customHeight="1">
      <c r="A26" s="582"/>
      <c r="B26" s="667"/>
      <c r="C26" s="552"/>
      <c r="D26" s="552"/>
      <c r="E26" s="579"/>
      <c r="F26" s="579"/>
      <c r="G26" s="577"/>
      <c r="H26" s="667"/>
      <c r="I26" s="582"/>
      <c r="J26" s="582"/>
      <c r="K26" s="579"/>
      <c r="M26" s="582"/>
      <c r="N26" s="667"/>
      <c r="O26" s="582"/>
      <c r="P26" s="582"/>
      <c r="Q26" s="582"/>
      <c r="R26" s="582"/>
      <c r="S26" s="193"/>
      <c r="T26" s="734"/>
      <c r="U26" s="582"/>
      <c r="V26" s="582"/>
      <c r="W26" s="580"/>
      <c r="X26" s="582"/>
      <c r="Y26" s="763" t="s">
        <v>135</v>
      </c>
      <c r="Z26" s="579"/>
      <c r="AA26" s="776" t="s">
        <v>180</v>
      </c>
      <c r="AB26" s="582"/>
      <c r="AC26" s="193"/>
      <c r="AD26" s="193"/>
      <c r="AE26" s="193"/>
      <c r="AF26" s="193"/>
      <c r="AG26" s="193"/>
      <c r="AH26" s="193"/>
      <c r="AI26" s="193"/>
      <c r="AJ26" s="193"/>
      <c r="AK26" s="193"/>
      <c r="AL26" s="193"/>
      <c r="AM26" s="193"/>
      <c r="AN26" s="193"/>
      <c r="AO26" s="193"/>
      <c r="AP26" s="193"/>
      <c r="AQ26" s="193"/>
    </row>
    <row r="27" spans="1:43">
      <c r="A27" s="582"/>
      <c r="B27" s="582"/>
      <c r="C27" s="582"/>
      <c r="D27" s="582"/>
      <c r="E27" s="582"/>
      <c r="F27" s="582"/>
      <c r="G27" s="582"/>
      <c r="H27" s="582"/>
      <c r="I27" s="582"/>
      <c r="J27" s="582"/>
      <c r="K27" s="582"/>
      <c r="L27" s="582"/>
      <c r="M27" s="582"/>
      <c r="N27" s="582"/>
      <c r="O27" s="582"/>
      <c r="P27" s="582"/>
      <c r="Q27" s="582"/>
      <c r="R27" s="582"/>
      <c r="S27" s="582"/>
      <c r="T27" s="582"/>
      <c r="U27" s="582"/>
      <c r="V27" s="582"/>
      <c r="W27" s="992" t="str">
        <f>IF(AA26="Yes","Take account of minerals fed when changing supplement allowances","")</f>
        <v/>
      </c>
      <c r="X27" s="582"/>
      <c r="Y27" s="582"/>
      <c r="Z27" s="582"/>
      <c r="AA27" s="582"/>
      <c r="AB27" s="582"/>
      <c r="AC27" s="194"/>
      <c r="AD27" s="194"/>
      <c r="AE27" s="194"/>
      <c r="AF27" s="194"/>
      <c r="AG27" s="193"/>
      <c r="AH27" s="193"/>
      <c r="AI27" s="193"/>
      <c r="AJ27" s="193"/>
      <c r="AK27" s="193"/>
      <c r="AL27" s="193"/>
      <c r="AM27" s="193"/>
      <c r="AN27" s="193"/>
      <c r="AO27" s="193"/>
      <c r="AP27" s="193"/>
      <c r="AQ27" s="193"/>
    </row>
    <row r="28" spans="1:43" ht="23.4">
      <c r="A28" s="582"/>
      <c r="B28" s="582"/>
      <c r="C28" s="582"/>
      <c r="D28" s="582"/>
      <c r="E28" s="582"/>
      <c r="F28" s="582"/>
      <c r="G28" s="582"/>
      <c r="H28" s="582"/>
      <c r="I28" s="582"/>
      <c r="J28" s="582"/>
      <c r="K28" s="582"/>
      <c r="L28" s="762" t="s">
        <v>247</v>
      </c>
      <c r="M28" s="582"/>
      <c r="N28" s="582"/>
      <c r="O28" s="582"/>
      <c r="P28" s="582"/>
      <c r="Q28" s="582"/>
      <c r="R28" s="765" t="str">
        <f>IF(OR(E8="",E11="-",E14="",K8="-",K11="-",K14="-",K17="",K20="",K23="-",Q8="",Q11="",Q14=""),"No","YES")</f>
        <v>YES</v>
      </c>
      <c r="S28" s="582"/>
      <c r="T28" s="582"/>
      <c r="U28" s="582"/>
      <c r="V28" s="582"/>
      <c r="W28" s="582"/>
      <c r="X28" s="582"/>
      <c r="Y28" s="582"/>
      <c r="Z28" s="582"/>
      <c r="AA28" s="582"/>
      <c r="AB28" s="582"/>
      <c r="AC28" s="194"/>
      <c r="AD28" s="194"/>
      <c r="AE28" s="194"/>
      <c r="AF28" s="194"/>
      <c r="AG28" s="193"/>
      <c r="AH28" s="193"/>
      <c r="AI28" s="193"/>
      <c r="AJ28" s="193"/>
      <c r="AK28" s="193"/>
      <c r="AL28" s="193"/>
      <c r="AM28" s="193"/>
      <c r="AN28" s="193"/>
      <c r="AO28" s="193"/>
      <c r="AP28" s="193"/>
      <c r="AQ28" s="193"/>
    </row>
    <row r="29" spans="1:43">
      <c r="A29" s="582"/>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193"/>
      <c r="AD29" s="193"/>
      <c r="AE29" s="193"/>
      <c r="AF29" s="193"/>
      <c r="AG29" s="193"/>
      <c r="AH29" s="193"/>
      <c r="AI29" s="193"/>
      <c r="AJ29" s="193"/>
      <c r="AK29" s="193"/>
      <c r="AL29" s="193"/>
      <c r="AM29" s="193"/>
      <c r="AN29" s="193"/>
      <c r="AO29" s="193"/>
      <c r="AP29" s="193"/>
      <c r="AQ29" s="193"/>
    </row>
    <row r="30" spans="1:43" ht="23.4">
      <c r="A30" s="193"/>
      <c r="B30" s="193"/>
      <c r="C30" s="193"/>
      <c r="D30" s="193"/>
      <c r="E30" s="194"/>
      <c r="F30" s="194"/>
      <c r="G30" s="194"/>
      <c r="H30" s="194"/>
      <c r="I30" s="194"/>
      <c r="J30" s="194"/>
      <c r="K30" s="193"/>
      <c r="L30" s="193"/>
      <c r="M30" s="193"/>
      <c r="N30" s="193"/>
      <c r="O30" s="193"/>
      <c r="P30" s="193"/>
      <c r="Q30" s="384" t="s">
        <v>153</v>
      </c>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row>
    <row r="31" spans="1:43" ht="11.25" customHeight="1">
      <c r="A31" s="193"/>
      <c r="B31" s="193"/>
      <c r="C31" s="193"/>
      <c r="D31" s="193"/>
      <c r="E31" s="194"/>
      <c r="F31" s="194"/>
      <c r="G31" s="194"/>
      <c r="H31" s="194"/>
      <c r="I31" s="194"/>
      <c r="J31" s="194"/>
      <c r="K31" s="193"/>
      <c r="L31" s="193"/>
      <c r="M31" s="193"/>
      <c r="N31" s="193"/>
      <c r="O31" s="193"/>
      <c r="P31" s="193"/>
      <c r="Q31" s="384"/>
      <c r="R31" s="193"/>
      <c r="S31" s="193"/>
      <c r="T31" s="193"/>
      <c r="U31" s="194"/>
      <c r="V31" s="385"/>
      <c r="W31" s="385"/>
      <c r="X31" s="385"/>
      <c r="Y31" s="385"/>
      <c r="Z31" s="385"/>
      <c r="AA31" s="193"/>
      <c r="AB31" s="193"/>
      <c r="AC31" s="193"/>
      <c r="AD31" s="193"/>
      <c r="AE31" s="193"/>
      <c r="AF31" s="193"/>
      <c r="AG31" s="193"/>
      <c r="AH31" s="193"/>
      <c r="AI31" s="193"/>
      <c r="AJ31" s="193"/>
      <c r="AK31" s="193"/>
      <c r="AL31" s="193"/>
      <c r="AM31" s="193"/>
      <c r="AN31" s="193"/>
      <c r="AO31" s="193"/>
      <c r="AP31" s="193"/>
      <c r="AQ31" s="193"/>
    </row>
    <row r="32" spans="1:43" ht="19.5" customHeight="1">
      <c r="A32" s="193"/>
      <c r="B32" s="193"/>
      <c r="C32" s="193"/>
      <c r="D32" s="193"/>
      <c r="E32" s="194"/>
      <c r="F32" s="769"/>
      <c r="G32" s="767"/>
      <c r="H32" s="767"/>
      <c r="I32" s="767"/>
      <c r="J32" s="682"/>
      <c r="K32" s="682"/>
      <c r="L32" s="682"/>
      <c r="M32" s="682"/>
      <c r="N32" s="682"/>
      <c r="O32" s="682"/>
      <c r="P32" s="682"/>
      <c r="Q32" s="682"/>
      <c r="R32" s="682"/>
      <c r="S32" s="682"/>
      <c r="T32" s="682"/>
      <c r="U32" s="682"/>
      <c r="V32" s="682"/>
      <c r="W32" s="682"/>
      <c r="X32" s="682"/>
      <c r="Y32" s="682"/>
      <c r="Z32" s="193"/>
      <c r="AA32" s="193"/>
      <c r="AB32" s="193"/>
      <c r="AC32" s="193"/>
      <c r="AD32" s="193"/>
      <c r="AE32" s="193"/>
      <c r="AF32" s="193"/>
      <c r="AG32" s="193"/>
      <c r="AH32" s="193"/>
      <c r="AI32" s="193"/>
      <c r="AJ32" s="193"/>
      <c r="AK32" s="193"/>
      <c r="AL32" s="193"/>
      <c r="AM32" s="193"/>
      <c r="AN32" s="193"/>
      <c r="AO32" s="193"/>
      <c r="AP32" s="193"/>
      <c r="AQ32" s="193"/>
    </row>
    <row r="33" spans="1:43" ht="19.5" customHeight="1">
      <c r="A33" s="193"/>
      <c r="B33" s="193"/>
      <c r="C33" s="193"/>
      <c r="D33" s="193"/>
      <c r="E33" s="194"/>
      <c r="F33" s="769"/>
      <c r="G33" s="767"/>
      <c r="H33" s="767"/>
      <c r="I33" s="767"/>
      <c r="J33" s="682"/>
      <c r="K33" s="864" t="s">
        <v>273</v>
      </c>
      <c r="L33" s="682"/>
      <c r="M33" s="1865">
        <f>IF($R$28="Yes",$K$17/$E$8,"")</f>
        <v>3.3</v>
      </c>
      <c r="N33" s="1866"/>
      <c r="O33" s="1867"/>
      <c r="P33" s="682"/>
      <c r="Q33" s="709" t="s">
        <v>138</v>
      </c>
      <c r="R33" s="682"/>
      <c r="S33" s="1862">
        <f>IF(R28="Yes",Q8/Q11,"")</f>
        <v>30</v>
      </c>
      <c r="T33" s="1863"/>
      <c r="U33" s="1864"/>
      <c r="V33" s="682"/>
      <c r="W33" s="682"/>
      <c r="X33" s="682"/>
      <c r="Y33" s="682"/>
      <c r="Z33" s="193"/>
      <c r="AA33" s="193"/>
      <c r="AB33" s="193"/>
      <c r="AC33" s="193"/>
      <c r="AD33" s="193"/>
      <c r="AE33" s="193"/>
      <c r="AF33" s="193"/>
      <c r="AG33" s="193"/>
      <c r="AH33" s="193"/>
      <c r="AI33" s="193"/>
      <c r="AJ33" s="193"/>
      <c r="AK33" s="193"/>
      <c r="AL33" s="193"/>
      <c r="AM33" s="193"/>
      <c r="AN33" s="193"/>
      <c r="AO33" s="193"/>
      <c r="AP33" s="193"/>
      <c r="AQ33" s="193"/>
    </row>
    <row r="34" spans="1:43" ht="20.25" customHeight="1">
      <c r="A34" s="193"/>
      <c r="B34" s="193"/>
      <c r="C34" s="193"/>
      <c r="D34" s="193"/>
      <c r="E34" s="194"/>
      <c r="F34" s="769"/>
      <c r="G34" s="767"/>
      <c r="H34" s="767"/>
      <c r="I34" s="767"/>
      <c r="J34" s="682"/>
      <c r="K34" s="864" t="s">
        <v>275</v>
      </c>
      <c r="L34" s="682"/>
      <c r="M34" s="1862">
        <f>IF($R$28="Yes",($K$17*$K$11)/$E$8,"")</f>
        <v>1980</v>
      </c>
      <c r="N34" s="1863"/>
      <c r="O34" s="1864"/>
      <c r="P34" s="682"/>
      <c r="Q34" s="709" t="s">
        <v>107</v>
      </c>
      <c r="R34" s="682"/>
      <c r="S34" s="1865">
        <f ca="1">IF(R28="Yes",IF(Q2&gt;0,((E14-Q2)/7),(E14-K2)/7),"")</f>
        <v>-353.57142857142856</v>
      </c>
      <c r="T34" s="1866"/>
      <c r="U34" s="1867"/>
      <c r="V34" s="682"/>
      <c r="W34" s="682"/>
      <c r="X34" s="682"/>
      <c r="Y34" s="682"/>
      <c r="Z34" s="193"/>
      <c r="AA34" s="193"/>
      <c r="AB34" s="193"/>
      <c r="AC34" s="193"/>
      <c r="AD34" s="193"/>
      <c r="AE34" s="193"/>
      <c r="AF34" s="193"/>
      <c r="AG34" s="193"/>
      <c r="AH34" s="193"/>
      <c r="AI34" s="193"/>
      <c r="AJ34" s="193"/>
      <c r="AK34" s="193"/>
      <c r="AL34" s="193"/>
      <c r="AM34" s="193"/>
      <c r="AN34" s="193"/>
      <c r="AO34" s="193"/>
      <c r="AP34" s="193"/>
      <c r="AQ34" s="193"/>
    </row>
    <row r="35" spans="1:43" ht="19.5" customHeight="1">
      <c r="A35" s="193"/>
      <c r="B35" s="193"/>
      <c r="C35" s="193"/>
      <c r="D35" s="193"/>
      <c r="E35" s="194"/>
      <c r="F35" s="769"/>
      <c r="G35" s="767"/>
      <c r="H35" s="767"/>
      <c r="I35" s="767"/>
      <c r="J35" s="682"/>
      <c r="K35" s="864" t="s">
        <v>272</v>
      </c>
      <c r="L35" s="682"/>
      <c r="M35" s="1865">
        <f>IF(R28="Yes",K20/Q8,"")</f>
        <v>3.1111111111111112</v>
      </c>
      <c r="N35" s="1866"/>
      <c r="O35" s="1867"/>
      <c r="P35" s="682"/>
      <c r="Q35" s="682"/>
      <c r="R35" s="682"/>
      <c r="S35" s="682"/>
      <c r="T35" s="682"/>
      <c r="U35" s="682"/>
      <c r="V35" s="682"/>
      <c r="W35" s="682"/>
      <c r="X35" s="682"/>
      <c r="Y35" s="682"/>
      <c r="Z35" s="193"/>
      <c r="AA35" s="193"/>
      <c r="AB35" s="193"/>
      <c r="AC35" s="193"/>
      <c r="AD35" s="193"/>
      <c r="AE35" s="193"/>
      <c r="AF35" s="193"/>
      <c r="AG35" s="193"/>
      <c r="AH35" s="193"/>
      <c r="AI35" s="193"/>
      <c r="AJ35" s="193"/>
      <c r="AK35" s="193"/>
      <c r="AL35" s="193"/>
      <c r="AM35" s="193"/>
      <c r="AN35" s="193"/>
      <c r="AO35" s="193"/>
      <c r="AP35" s="193"/>
      <c r="AQ35" s="193"/>
    </row>
    <row r="36" spans="1:43" ht="17.25" customHeight="1">
      <c r="A36" s="193"/>
      <c r="B36" s="193"/>
      <c r="C36" s="193"/>
      <c r="D36" s="193"/>
      <c r="E36" s="194"/>
      <c r="F36" s="769"/>
      <c r="G36" s="767"/>
      <c r="H36" s="767"/>
      <c r="I36" s="767"/>
      <c r="J36" s="682"/>
      <c r="K36" s="864" t="s">
        <v>274</v>
      </c>
      <c r="L36" s="682"/>
      <c r="M36" s="1862">
        <f>IF($R$28="Yes",($K$20*$K$11)/$Q$8,"")</f>
        <v>1866.6666666666667</v>
      </c>
      <c r="N36" s="1863"/>
      <c r="O36" s="1864"/>
      <c r="P36" s="682"/>
      <c r="Q36" s="682"/>
      <c r="R36" s="682"/>
      <c r="S36" s="682"/>
      <c r="T36" s="682"/>
      <c r="U36" s="682"/>
      <c r="V36" s="682"/>
      <c r="W36" s="682"/>
      <c r="X36" s="682"/>
      <c r="Y36" s="682"/>
      <c r="Z36" s="193"/>
      <c r="AA36" s="193"/>
      <c r="AB36" s="193"/>
      <c r="AC36" s="193"/>
      <c r="AD36" s="193"/>
      <c r="AE36" s="193"/>
      <c r="AF36" s="193"/>
      <c r="AG36" s="193"/>
      <c r="AH36" s="193"/>
      <c r="AI36" s="193"/>
      <c r="AJ36" s="193"/>
      <c r="AK36" s="193"/>
      <c r="AL36" s="193"/>
      <c r="AM36" s="193"/>
      <c r="AN36" s="193"/>
      <c r="AO36" s="193"/>
      <c r="AP36" s="193"/>
      <c r="AQ36" s="193"/>
    </row>
    <row r="37" spans="1:43" ht="16.5" customHeight="1">
      <c r="A37" s="193"/>
      <c r="B37" s="193"/>
      <c r="C37" s="193"/>
      <c r="D37" s="193"/>
      <c r="E37" s="194"/>
      <c r="F37" s="769"/>
      <c r="G37" s="767"/>
      <c r="H37" s="767"/>
      <c r="I37" s="767"/>
      <c r="J37" s="682"/>
      <c r="K37" s="674"/>
      <c r="L37" s="682"/>
      <c r="M37" s="682"/>
      <c r="N37" s="682"/>
      <c r="O37" s="682"/>
      <c r="P37" s="682"/>
      <c r="Q37" s="682"/>
      <c r="R37" s="682"/>
      <c r="S37" s="682"/>
      <c r="T37" s="682"/>
      <c r="U37" s="682"/>
      <c r="V37" s="682"/>
      <c r="W37" s="682"/>
      <c r="X37" s="682"/>
      <c r="Y37" s="682"/>
      <c r="Z37" s="193"/>
      <c r="AA37" s="193"/>
      <c r="AB37" s="193"/>
      <c r="AC37" s="193"/>
      <c r="AD37" s="193"/>
      <c r="AE37" s="193"/>
      <c r="AF37" s="193"/>
      <c r="AG37" s="193"/>
      <c r="AH37" s="193"/>
      <c r="AI37" s="193"/>
      <c r="AJ37" s="193"/>
      <c r="AK37" s="193"/>
      <c r="AL37" s="193"/>
      <c r="AM37" s="193"/>
      <c r="AN37" s="193"/>
      <c r="AO37" s="193"/>
      <c r="AP37" s="193"/>
      <c r="AQ37" s="193"/>
    </row>
    <row r="38" spans="1:43" ht="15" customHeight="1">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row>
    <row r="39" spans="1:43">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row>
    <row r="40" spans="1:43" ht="15"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385"/>
      <c r="AC40" s="193"/>
      <c r="AD40" s="193"/>
      <c r="AE40" s="193"/>
      <c r="AF40" s="193"/>
      <c r="AG40" s="193"/>
      <c r="AH40" s="193"/>
      <c r="AI40" s="193"/>
      <c r="AJ40" s="193"/>
      <c r="AK40" s="193"/>
      <c r="AL40" s="193"/>
      <c r="AM40" s="193"/>
      <c r="AN40" s="193"/>
      <c r="AO40" s="193"/>
      <c r="AP40" s="193"/>
      <c r="AQ40" s="193"/>
    </row>
    <row r="41" spans="1:43">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385"/>
      <c r="AC41" s="193"/>
      <c r="AD41" s="193"/>
      <c r="AE41" s="193"/>
      <c r="AF41" s="193"/>
      <c r="AG41" s="193"/>
      <c r="AH41" s="193"/>
      <c r="AI41" s="193"/>
      <c r="AJ41" s="193"/>
      <c r="AK41" s="193"/>
      <c r="AL41" s="193"/>
      <c r="AM41" s="193"/>
      <c r="AN41" s="193"/>
      <c r="AO41" s="193"/>
      <c r="AP41" s="193"/>
      <c r="AQ41" s="193"/>
    </row>
    <row r="42" spans="1:43" ht="19.5" customHeight="1">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385"/>
      <c r="AC42" s="193"/>
      <c r="AD42" s="193"/>
      <c r="AE42" s="193"/>
      <c r="AF42" s="193"/>
      <c r="AG42" s="193"/>
      <c r="AH42" s="193"/>
      <c r="AI42" s="193"/>
      <c r="AJ42" s="193"/>
      <c r="AK42" s="193"/>
      <c r="AL42" s="193"/>
      <c r="AM42" s="193"/>
      <c r="AN42" s="193"/>
      <c r="AO42" s="193"/>
      <c r="AP42" s="193"/>
      <c r="AQ42" s="193"/>
    </row>
    <row r="43" spans="1:43">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385"/>
      <c r="AC43" s="193"/>
      <c r="AD43" s="193"/>
      <c r="AE43" s="193"/>
      <c r="AF43" s="193"/>
      <c r="AG43" s="193"/>
      <c r="AH43" s="193"/>
      <c r="AI43" s="193"/>
      <c r="AJ43" s="193"/>
      <c r="AK43" s="193"/>
      <c r="AL43" s="193"/>
      <c r="AM43" s="193"/>
      <c r="AN43" s="193"/>
      <c r="AO43" s="193"/>
      <c r="AP43" s="193"/>
      <c r="AQ43" s="193"/>
    </row>
    <row r="44" spans="1:43">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385"/>
      <c r="AC44" s="193"/>
      <c r="AD44" s="193"/>
      <c r="AE44" s="193"/>
      <c r="AF44" s="193"/>
      <c r="AG44" s="193"/>
      <c r="AH44" s="193"/>
      <c r="AI44" s="193"/>
      <c r="AJ44" s="193"/>
      <c r="AK44" s="193"/>
      <c r="AL44" s="193"/>
      <c r="AM44" s="193"/>
      <c r="AN44" s="193"/>
      <c r="AO44" s="193"/>
      <c r="AP44" s="193"/>
      <c r="AQ44" s="193"/>
    </row>
    <row r="45" spans="1:43">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385"/>
      <c r="AC45" s="193"/>
      <c r="AD45" s="193"/>
      <c r="AE45" s="193"/>
      <c r="AF45" s="193"/>
      <c r="AG45" s="193"/>
      <c r="AH45" s="193"/>
      <c r="AI45" s="193"/>
      <c r="AJ45" s="193"/>
      <c r="AK45" s="193"/>
      <c r="AL45" s="193"/>
      <c r="AM45" s="193"/>
      <c r="AN45" s="193"/>
      <c r="AO45" s="193"/>
      <c r="AP45" s="193"/>
      <c r="AQ45" s="193"/>
    </row>
    <row r="46" spans="1:43">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385"/>
      <c r="AC46" s="193"/>
      <c r="AD46" s="193"/>
      <c r="AE46" s="193"/>
      <c r="AF46" s="193"/>
      <c r="AG46" s="193"/>
      <c r="AH46" s="193"/>
      <c r="AI46" s="193"/>
      <c r="AJ46" s="193"/>
      <c r="AK46" s="193"/>
      <c r="AL46" s="193"/>
      <c r="AM46" s="193"/>
      <c r="AN46" s="193"/>
      <c r="AO46" s="193"/>
      <c r="AP46" s="193"/>
      <c r="AQ46" s="193"/>
    </row>
    <row r="47" spans="1:43">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385"/>
      <c r="AC47" s="193"/>
      <c r="AD47" s="193"/>
      <c r="AE47" s="193"/>
      <c r="AF47" s="193"/>
      <c r="AG47" s="193"/>
      <c r="AH47" s="193"/>
      <c r="AI47" s="193"/>
      <c r="AJ47" s="193"/>
      <c r="AK47" s="193"/>
      <c r="AL47" s="193"/>
      <c r="AM47" s="193"/>
      <c r="AN47" s="193"/>
      <c r="AO47" s="193"/>
      <c r="AP47" s="193"/>
      <c r="AQ47" s="193"/>
    </row>
    <row r="48" spans="1:43">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385"/>
      <c r="AC48" s="193"/>
      <c r="AD48" s="193"/>
      <c r="AE48" s="193"/>
      <c r="AF48" s="193"/>
      <c r="AG48" s="193"/>
      <c r="AH48" s="193"/>
      <c r="AI48" s="193"/>
      <c r="AJ48" s="193"/>
      <c r="AK48" s="193"/>
      <c r="AL48" s="193"/>
      <c r="AM48" s="193"/>
      <c r="AN48" s="193"/>
      <c r="AO48" s="193"/>
      <c r="AP48" s="193"/>
      <c r="AQ48" s="193"/>
    </row>
    <row r="49" spans="1:43">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385"/>
      <c r="AC49" s="193"/>
      <c r="AD49" s="193"/>
      <c r="AE49" s="193"/>
      <c r="AF49" s="193"/>
      <c r="AG49" s="193"/>
      <c r="AH49" s="193"/>
      <c r="AI49" s="193"/>
      <c r="AJ49" s="193"/>
      <c r="AK49" s="193"/>
      <c r="AL49" s="193"/>
      <c r="AM49" s="193"/>
      <c r="AN49" s="193"/>
      <c r="AO49" s="193"/>
      <c r="AP49" s="193"/>
      <c r="AQ49" s="193"/>
    </row>
    <row r="50" spans="1:43">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385"/>
      <c r="AC50" s="193"/>
      <c r="AD50" s="193"/>
      <c r="AE50" s="193"/>
      <c r="AF50" s="193"/>
      <c r="AG50" s="193"/>
      <c r="AH50" s="193"/>
      <c r="AI50" s="193"/>
      <c r="AJ50" s="193"/>
      <c r="AK50" s="193"/>
      <c r="AL50" s="193"/>
      <c r="AM50" s="193"/>
      <c r="AN50" s="193"/>
      <c r="AO50" s="193"/>
      <c r="AP50" s="193"/>
      <c r="AQ50" s="193"/>
    </row>
    <row r="51" spans="1:43">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385"/>
      <c r="AC51" s="193"/>
      <c r="AD51" s="193"/>
      <c r="AE51" s="193"/>
      <c r="AF51" s="193"/>
      <c r="AG51" s="193"/>
      <c r="AH51" s="193"/>
      <c r="AI51" s="193"/>
      <c r="AJ51" s="193"/>
      <c r="AK51" s="193"/>
      <c r="AL51" s="193"/>
      <c r="AM51" s="193"/>
      <c r="AN51" s="193"/>
      <c r="AO51" s="193"/>
      <c r="AP51" s="193"/>
      <c r="AQ51" s="193"/>
    </row>
    <row r="52" spans="1:43">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385"/>
      <c r="AC52" s="193"/>
      <c r="AD52" s="193"/>
      <c r="AE52" s="193"/>
      <c r="AF52" s="193"/>
      <c r="AG52" s="193"/>
      <c r="AH52" s="193"/>
      <c r="AI52" s="193"/>
      <c r="AJ52" s="193"/>
      <c r="AK52" s="193"/>
      <c r="AL52" s="193"/>
      <c r="AM52" s="193"/>
      <c r="AN52" s="193"/>
      <c r="AO52" s="193"/>
      <c r="AP52" s="193"/>
      <c r="AQ52" s="193"/>
    </row>
    <row r="53" spans="1:43">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385"/>
      <c r="AC53" s="193"/>
      <c r="AD53" s="193"/>
      <c r="AE53" s="193"/>
      <c r="AF53" s="193"/>
      <c r="AG53" s="193"/>
      <c r="AH53" s="193"/>
      <c r="AI53" s="193"/>
      <c r="AJ53" s="193"/>
      <c r="AK53" s="193"/>
      <c r="AL53" s="193"/>
      <c r="AM53" s="193"/>
      <c r="AN53" s="193"/>
      <c r="AO53" s="193"/>
      <c r="AP53" s="193"/>
      <c r="AQ53" s="193"/>
    </row>
    <row r="54" spans="1:43">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385"/>
      <c r="AC54" s="193"/>
      <c r="AD54" s="193"/>
      <c r="AE54" s="193"/>
      <c r="AF54" s="193"/>
      <c r="AG54" s="193"/>
      <c r="AH54" s="193"/>
      <c r="AI54" s="193"/>
      <c r="AJ54" s="193"/>
      <c r="AK54" s="193"/>
      <c r="AL54" s="193"/>
      <c r="AM54" s="193"/>
      <c r="AN54" s="193"/>
      <c r="AO54" s="193"/>
      <c r="AP54" s="193"/>
      <c r="AQ54" s="193"/>
    </row>
    <row r="55" spans="1:43">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385"/>
      <c r="AC55" s="193"/>
      <c r="AD55" s="193"/>
      <c r="AE55" s="193"/>
      <c r="AF55" s="193"/>
      <c r="AG55" s="193"/>
      <c r="AH55" s="193"/>
      <c r="AI55" s="193"/>
      <c r="AJ55" s="193"/>
      <c r="AK55" s="193"/>
      <c r="AL55" s="193"/>
      <c r="AM55" s="193"/>
      <c r="AN55" s="193"/>
      <c r="AO55" s="193"/>
      <c r="AP55" s="193"/>
      <c r="AQ55" s="193"/>
    </row>
    <row r="56" spans="1:43">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385"/>
      <c r="AC56" s="193"/>
      <c r="AD56" s="193"/>
      <c r="AE56" s="193"/>
      <c r="AF56" s="193"/>
      <c r="AG56" s="193"/>
      <c r="AH56" s="193"/>
      <c r="AI56" s="193"/>
      <c r="AJ56" s="193"/>
      <c r="AK56" s="193"/>
      <c r="AL56" s="193"/>
      <c r="AM56" s="193"/>
      <c r="AN56" s="193"/>
      <c r="AO56" s="193"/>
      <c r="AP56" s="193"/>
      <c r="AQ56" s="193"/>
    </row>
    <row r="57" spans="1:43">
      <c r="E57" s="11"/>
    </row>
    <row r="58" spans="1:43">
      <c r="E58" s="11"/>
    </row>
    <row r="59" spans="1:43">
      <c r="E59" s="11"/>
    </row>
    <row r="60" spans="1:43">
      <c r="E60" s="11"/>
    </row>
    <row r="61" spans="1:43">
      <c r="E61" s="11"/>
    </row>
    <row r="62" spans="1:43">
      <c r="E62" s="11"/>
    </row>
    <row r="63" spans="1:43">
      <c r="E63" s="11"/>
    </row>
    <row r="64" spans="1:43">
      <c r="E64" s="11"/>
    </row>
    <row r="65" spans="5:5">
      <c r="E65" s="11"/>
    </row>
    <row r="66" spans="5:5">
      <c r="E66" s="11"/>
    </row>
    <row r="67" spans="5:5">
      <c r="E67" s="11"/>
    </row>
    <row r="68" spans="5:5">
      <c r="E68" s="11"/>
    </row>
    <row r="69" spans="5:5">
      <c r="E69" s="11"/>
    </row>
    <row r="70" spans="5:5">
      <c r="E70" s="11"/>
    </row>
    <row r="71" spans="5:5">
      <c r="E71" s="11"/>
    </row>
    <row r="72" spans="5:5">
      <c r="E72" s="11"/>
    </row>
    <row r="73" spans="5:5">
      <c r="E73" s="11"/>
    </row>
    <row r="74" spans="5:5">
      <c r="E74" s="11"/>
    </row>
    <row r="75" spans="5:5">
      <c r="E75" s="11"/>
    </row>
    <row r="76" spans="5:5">
      <c r="E76" s="11"/>
    </row>
    <row r="77" spans="5:5">
      <c r="E77" s="11"/>
    </row>
  </sheetData>
  <mergeCells count="10">
    <mergeCell ref="B5:F5"/>
    <mergeCell ref="N5:R5"/>
    <mergeCell ref="H5:L5"/>
    <mergeCell ref="T5:AA5"/>
    <mergeCell ref="M33:O33"/>
    <mergeCell ref="M34:O34"/>
    <mergeCell ref="M35:O35"/>
    <mergeCell ref="S34:U34"/>
    <mergeCell ref="S33:U33"/>
    <mergeCell ref="M36:O36"/>
  </mergeCells>
  <conditionalFormatting sqref="Q8">
    <cfRule type="cellIs" dxfId="343" priority="52" operator="greaterThan">
      <formula>0</formula>
    </cfRule>
  </conditionalFormatting>
  <conditionalFormatting sqref="Q11">
    <cfRule type="cellIs" dxfId="342" priority="51" operator="greaterThan">
      <formula>0</formula>
    </cfRule>
  </conditionalFormatting>
  <conditionalFormatting sqref="Q14">
    <cfRule type="cellIs" dxfId="341" priority="50" operator="greaterThan">
      <formula>0</formula>
    </cfRule>
  </conditionalFormatting>
  <conditionalFormatting sqref="E8">
    <cfRule type="cellIs" dxfId="340" priority="49" operator="greaterThan">
      <formula>0</formula>
    </cfRule>
  </conditionalFormatting>
  <conditionalFormatting sqref="K17">
    <cfRule type="cellIs" dxfId="339" priority="48" operator="greaterThan">
      <formula>0</formula>
    </cfRule>
  </conditionalFormatting>
  <conditionalFormatting sqref="K20">
    <cfRule type="cellIs" dxfId="338" priority="47" operator="greaterThan">
      <formula>0</formula>
    </cfRule>
  </conditionalFormatting>
  <conditionalFormatting sqref="E14">
    <cfRule type="cellIs" dxfId="337" priority="34" operator="greaterThan">
      <formula>0</formula>
    </cfRule>
  </conditionalFormatting>
  <conditionalFormatting sqref="Q2">
    <cfRule type="cellIs" dxfId="336" priority="33" operator="greaterThan">
      <formula>0</formula>
    </cfRule>
  </conditionalFormatting>
  <conditionalFormatting sqref="AA8">
    <cfRule type="expression" dxfId="335" priority="13">
      <formula>$W$8="-"</formula>
    </cfRule>
    <cfRule type="cellIs" dxfId="334" priority="14" operator="greaterThan">
      <formula>0.01</formula>
    </cfRule>
  </conditionalFormatting>
  <conditionalFormatting sqref="AA11">
    <cfRule type="expression" dxfId="333" priority="11">
      <formula>$W$8="-"</formula>
    </cfRule>
    <cfRule type="cellIs" dxfId="332" priority="12" operator="greaterThan">
      <formula>0.01</formula>
    </cfRule>
  </conditionalFormatting>
  <conditionalFormatting sqref="AA14">
    <cfRule type="expression" dxfId="331" priority="9">
      <formula>$W$8="-"</formula>
    </cfRule>
    <cfRule type="cellIs" dxfId="330" priority="10" operator="greaterThan">
      <formula>0.01</formula>
    </cfRule>
  </conditionalFormatting>
  <conditionalFormatting sqref="AA17">
    <cfRule type="expression" dxfId="329" priority="7">
      <formula>$W$8="-"</formula>
    </cfRule>
    <cfRule type="cellIs" dxfId="328" priority="8" operator="greaterThan">
      <formula>0.01</formula>
    </cfRule>
  </conditionalFormatting>
  <conditionalFormatting sqref="AA20">
    <cfRule type="expression" dxfId="327" priority="5">
      <formula>$W$8="-"</formula>
    </cfRule>
    <cfRule type="cellIs" dxfId="326" priority="6" operator="greaterThan">
      <formula>0.01</formula>
    </cfRule>
  </conditionalFormatting>
  <conditionalFormatting sqref="AA23">
    <cfRule type="expression" dxfId="325" priority="3">
      <formula>$W$8="-"</formula>
    </cfRule>
    <cfRule type="cellIs" dxfId="324" priority="4" operator="greaterThan">
      <formula>0.01</formula>
    </cfRule>
  </conditionalFormatting>
  <conditionalFormatting sqref="AI11">
    <cfRule type="cellIs" dxfId="323" priority="2" operator="greaterThan">
      <formula>0</formula>
    </cfRule>
  </conditionalFormatting>
  <dataValidations count="7">
    <dataValidation type="list" allowBlank="1" showInputMessage="1" showErrorMessage="1" sqref="W8 W11 W14 W17 W20 W23" xr:uid="{00000000-0002-0000-0300-000000000000}">
      <formula1>Feed_Type</formula1>
    </dataValidation>
    <dataValidation type="list" allowBlank="1" showInputMessage="1" showErrorMessage="1" sqref="Y8" xr:uid="{00000000-0002-0000-0300-000001000000}">
      <formula1>INDIRECT($W$8)</formula1>
    </dataValidation>
    <dataValidation type="list" allowBlank="1" showInputMessage="1" showErrorMessage="1" sqref="Y11" xr:uid="{00000000-0002-0000-0300-000002000000}">
      <formula1>INDIRECT($W$11)</formula1>
    </dataValidation>
    <dataValidation type="list" allowBlank="1" showInputMessage="1" showErrorMessage="1" sqref="Y14" xr:uid="{00000000-0002-0000-0300-000003000000}">
      <formula1>INDIRECT($W$14)</formula1>
    </dataValidation>
    <dataValidation type="list" allowBlank="1" showInputMessage="1" showErrorMessage="1" sqref="Y17" xr:uid="{00000000-0002-0000-0300-000004000000}">
      <formula1>INDIRECT($W$17)</formula1>
    </dataValidation>
    <dataValidation type="list" allowBlank="1" showInputMessage="1" showErrorMessage="1" sqref="Y23" xr:uid="{00000000-0002-0000-0300-000005000000}">
      <formula1>INDIRECT($W$23)</formula1>
    </dataValidation>
    <dataValidation type="list" allowBlank="1" showInputMessage="1" showErrorMessage="1" sqref="Y20" xr:uid="{00000000-0002-0000-0300-000006000000}">
      <formula1>INDIRECT($W$20)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7000000}">
          <x14:formula1>
            <xm:f>'Data source'!$B$250:$B$255</xm:f>
          </x14:formula1>
          <xm:sqref>K14</xm:sqref>
        </x14:dataValidation>
        <x14:dataValidation type="list" allowBlank="1" showInputMessage="1" showErrorMessage="1" xr:uid="{00000000-0002-0000-0300-000008000000}">
          <x14:formula1>
            <xm:f>'Data source'!$B$208:$B$211</xm:f>
          </x14:formula1>
          <xm:sqref>E11</xm:sqref>
        </x14:dataValidation>
        <x14:dataValidation type="list" allowBlank="1" showInputMessage="1" showErrorMessage="1" xr:uid="{00000000-0002-0000-0300-000009000000}">
          <x14:formula1>
            <xm:f>'Data source'!$B$202:$B$205</xm:f>
          </x14:formula1>
          <xm:sqref>K8</xm:sqref>
        </x14:dataValidation>
        <x14:dataValidation type="list" allowBlank="1" showInputMessage="1" showErrorMessage="1" xr:uid="{00000000-0002-0000-0300-00000A000000}">
          <x14:formula1>
            <xm:f>'Data source'!$B$256:$B$258</xm:f>
          </x14:formula1>
          <xm:sqref>AA26</xm:sqref>
        </x14:dataValidation>
        <x14:dataValidation type="list" allowBlank="1" showInputMessage="1" showErrorMessage="1" xr:uid="{00000000-0002-0000-0300-00000B000000}">
          <x14:formula1>
            <xm:f>'Data source'!$B$227:$B$236</xm:f>
          </x14:formula1>
          <xm:sqref>K23</xm:sqref>
        </x14:dataValidation>
        <x14:dataValidation type="list" allowBlank="1" showInputMessage="1" showErrorMessage="1" xr:uid="{00000000-0002-0000-0300-00000C000000}">
          <x14:formula1>
            <xm:f>'Data source'!$B$189:$B$199</xm:f>
          </x14:formula1>
          <xm:sqref>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8" tint="-0.249977111117893"/>
  </sheetPr>
  <dimension ref="A2:AO125"/>
  <sheetViews>
    <sheetView showGridLines="0" zoomScale="70" zoomScaleNormal="70" workbookViewId="0">
      <selection activeCell="AB20" sqref="AB20"/>
    </sheetView>
  </sheetViews>
  <sheetFormatPr defaultRowHeight="14.4"/>
  <sheetData>
    <row r="2" spans="1:41" ht="9.7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33.6">
      <c r="A3" s="7"/>
      <c r="B3" s="7"/>
      <c r="C3" s="7"/>
      <c r="D3" s="7"/>
      <c r="E3" s="7"/>
      <c r="F3" s="7"/>
      <c r="G3" s="43"/>
      <c r="H3" s="7"/>
      <c r="I3" s="7"/>
      <c r="J3" s="7"/>
      <c r="K3" s="7"/>
      <c r="L3" s="7"/>
      <c r="M3" s="7"/>
      <c r="N3" s="7"/>
      <c r="O3" s="43"/>
      <c r="P3" s="7"/>
      <c r="Q3" s="7"/>
      <c r="R3" s="7"/>
      <c r="S3" s="7"/>
      <c r="T3" s="7"/>
      <c r="U3" s="7"/>
      <c r="V3" s="7"/>
      <c r="W3" s="7"/>
      <c r="X3" s="7"/>
      <c r="Y3" s="7"/>
      <c r="Z3" s="7"/>
      <c r="AB3" s="7"/>
      <c r="AC3" s="7"/>
      <c r="AD3" s="7"/>
      <c r="AE3" s="7"/>
      <c r="AF3" s="7"/>
      <c r="AG3" s="7"/>
      <c r="AH3" s="7"/>
      <c r="AI3" s="7"/>
      <c r="AJ3" s="7"/>
      <c r="AK3" s="7"/>
      <c r="AL3" s="7"/>
      <c r="AM3" s="7"/>
      <c r="AN3" s="7"/>
      <c r="AO3" s="7"/>
    </row>
    <row r="4" spans="1:41">
      <c r="A4" s="7"/>
      <c r="C4" s="7"/>
      <c r="D4" s="7"/>
      <c r="E4" s="7"/>
      <c r="F4" s="7"/>
      <c r="G4" s="7"/>
      <c r="H4" s="7"/>
      <c r="I4" s="7"/>
      <c r="J4" s="7"/>
      <c r="K4" s="7"/>
      <c r="L4" s="7"/>
      <c r="M4" s="7"/>
      <c r="N4" s="7"/>
      <c r="P4" s="7"/>
      <c r="Q4" s="7"/>
      <c r="R4" s="7"/>
      <c r="S4" s="7"/>
      <c r="T4" s="7"/>
      <c r="U4" s="7"/>
      <c r="V4" s="7"/>
      <c r="W4" s="7"/>
      <c r="X4" s="7"/>
      <c r="Y4" s="7"/>
      <c r="Z4" s="7"/>
      <c r="AA4" s="7"/>
      <c r="AB4" s="7"/>
      <c r="AC4" s="7"/>
      <c r="AD4" s="7"/>
      <c r="AE4" s="7"/>
      <c r="AF4" s="7"/>
      <c r="AG4" s="7"/>
      <c r="AH4" s="7"/>
      <c r="AI4" s="7"/>
      <c r="AJ4" s="7"/>
      <c r="AK4" s="7"/>
      <c r="AL4" s="7"/>
      <c r="AM4" s="7"/>
      <c r="AN4" s="7"/>
      <c r="AO4" s="7"/>
    </row>
    <row r="5" spans="1:4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row>
    <row r="6" spans="1:4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row>
    <row r="7" spans="1:4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row>
    <row r="8" spans="1:4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row>
    <row r="9" spans="1:4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row>
    <row r="10" spans="1:4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row>
    <row r="11" spans="1:4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row>
    <row r="14" spans="1:4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row>
    <row r="15" spans="1:4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row>
    <row r="16" spans="1:4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row>
    <row r="17" spans="1:4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row>
    <row r="18" spans="1:4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row>
    <row r="19" spans="1:4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row>
    <row r="20" spans="1:4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row>
    <row r="21" spans="1:4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row>
    <row r="22" spans="1:4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row>
    <row r="23" spans="1:4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row>
    <row r="24" spans="1:4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row>
    <row r="25" spans="1:41" ht="33.6">
      <c r="A25" s="7"/>
      <c r="B25" s="7"/>
      <c r="C25" s="7"/>
      <c r="D25" s="7"/>
      <c r="E25" s="7"/>
      <c r="F25" s="7"/>
      <c r="G25" s="7"/>
      <c r="H25" s="43"/>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row>
    <row r="26" spans="1:4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row>
    <row r="27" spans="1:41">
      <c r="A27" s="7"/>
      <c r="B27" s="7"/>
      <c r="C27" s="7"/>
      <c r="D27" s="7"/>
      <c r="E27" s="7"/>
      <c r="F27" s="7"/>
      <c r="G27" s="7"/>
      <c r="H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row>
    <row r="28" spans="1:4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row>
    <row r="29" spans="1:4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4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row>
    <row r="31" spans="1:4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row>
    <row r="32" spans="1:4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row>
    <row r="33" spans="1:4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row>
    <row r="34" spans="1:4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row>
    <row r="35" spans="1:4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row>
    <row r="36" spans="1:4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row>
    <row r="37" spans="1:4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row>
    <row r="38" spans="1:4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row>
    <row r="39" spans="1:4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1:4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1:4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row>
    <row r="43" spans="1:4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row>
    <row r="44" spans="1:4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row>
    <row r="45" spans="1:4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row>
    <row r="46" spans="1:4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row>
    <row r="47" spans="1:4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1:4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1:4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1:4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1:4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row>
    <row r="52" spans="1:4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row>
    <row r="53" spans="1:4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row>
    <row r="54" spans="1:4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row>
    <row r="55" spans="1:4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1:4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1:4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1:4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1:4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1:4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1:4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1:4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1:4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1:4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1:4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1:4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1:4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1:4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1:4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1:4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1:4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row r="73" spans="1:4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row>
    <row r="74" spans="1:4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row>
    <row r="75" spans="1:4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row>
    <row r="76" spans="1:4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row>
    <row r="77" spans="1:4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row>
    <row r="78" spans="1:4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row>
    <row r="80" spans="1:4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row>
    <row r="81" spans="1:4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1:4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1:4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1:4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1:4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1:4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row>
    <row r="87" spans="1:4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row>
    <row r="88" spans="1:4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row>
    <row r="89" spans="1:4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row>
    <row r="90" spans="1:4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row>
    <row r="91" spans="1:4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row>
    <row r="92" spans="1:4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row>
    <row r="93" spans="1:4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row>
    <row r="94" spans="1:4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row>
    <row r="95" spans="1:4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1:4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row>
    <row r="97" spans="1:4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row>
    <row r="98" spans="1:4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row>
    <row r="99" spans="1:4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row>
    <row r="100" spans="1:4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row>
    <row r="101" spans="1:4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row>
    <row r="102" spans="1:4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1:4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row>
    <row r="104" spans="1:4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row>
    <row r="105" spans="1:4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row>
    <row r="106" spans="1:4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row>
    <row r="107" spans="1:4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row>
    <row r="108" spans="1:4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row>
    <row r="109" spans="1:4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row>
    <row r="110" spans="1:4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row>
    <row r="111" spans="1:4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row>
    <row r="112" spans="1:4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row>
    <row r="113" spans="1:4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row>
    <row r="114" spans="1:4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row>
    <row r="115" spans="1:4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row>
    <row r="116" spans="1:4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row>
    <row r="117" spans="1:4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row>
    <row r="118" spans="1:41">
      <c r="A118" s="7"/>
      <c r="B118" s="7"/>
      <c r="C118" s="7"/>
      <c r="D118" s="7"/>
      <c r="E118" s="7"/>
      <c r="F118" s="7"/>
      <c r="G118" s="7"/>
      <c r="H118" s="7"/>
      <c r="I118" s="7"/>
      <c r="J118" s="7"/>
      <c r="K118" s="7"/>
      <c r="L118" s="7"/>
      <c r="M118" s="7"/>
      <c r="N118" s="7"/>
      <c r="O118" s="7"/>
      <c r="P118" s="7"/>
      <c r="Q118" s="7"/>
      <c r="R118" s="7"/>
      <c r="S118" s="7"/>
      <c r="T118" s="7"/>
    </row>
    <row r="119" spans="1:41">
      <c r="A119" s="7"/>
      <c r="B119" s="7"/>
      <c r="C119" s="7"/>
      <c r="D119" s="7"/>
      <c r="E119" s="7"/>
      <c r="F119" s="7"/>
      <c r="G119" s="7"/>
      <c r="H119" s="7"/>
      <c r="I119" s="7"/>
      <c r="J119" s="7"/>
      <c r="K119" s="7"/>
      <c r="L119" s="7"/>
      <c r="M119" s="7"/>
      <c r="N119" s="7"/>
      <c r="O119" s="7"/>
      <c r="P119" s="7"/>
      <c r="Q119" s="7"/>
      <c r="R119" s="7"/>
      <c r="S119" s="7"/>
      <c r="T119" s="7"/>
    </row>
    <row r="120" spans="1:41">
      <c r="A120" s="7"/>
      <c r="B120" s="7"/>
      <c r="C120" s="7"/>
      <c r="D120" s="7"/>
      <c r="E120" s="7"/>
      <c r="F120" s="7"/>
      <c r="G120" s="7"/>
      <c r="H120" s="7"/>
      <c r="I120" s="7"/>
      <c r="J120" s="7"/>
      <c r="K120" s="7"/>
      <c r="L120" s="7"/>
      <c r="M120" s="7"/>
      <c r="N120" s="7"/>
      <c r="O120" s="7"/>
      <c r="P120" s="7"/>
      <c r="Q120" s="7"/>
      <c r="R120" s="7"/>
      <c r="S120" s="7"/>
      <c r="T120" s="7"/>
    </row>
    <row r="121" spans="1:41">
      <c r="A121" s="7"/>
      <c r="B121" s="7"/>
      <c r="C121" s="7"/>
      <c r="D121" s="7"/>
      <c r="E121" s="7"/>
      <c r="F121" s="7"/>
      <c r="G121" s="7"/>
      <c r="H121" s="7"/>
      <c r="I121" s="7"/>
      <c r="J121" s="7"/>
      <c r="K121" s="7"/>
      <c r="L121" s="7"/>
      <c r="M121" s="7"/>
      <c r="N121" s="7"/>
      <c r="O121" s="7"/>
      <c r="P121" s="7"/>
      <c r="Q121" s="7"/>
      <c r="R121" s="7"/>
      <c r="S121" s="7"/>
      <c r="T121" s="7"/>
    </row>
    <row r="122" spans="1:41">
      <c r="A122" s="7"/>
      <c r="B122" s="7"/>
      <c r="C122" s="7"/>
      <c r="D122" s="7"/>
      <c r="E122" s="7"/>
      <c r="F122" s="7"/>
      <c r="G122" s="7"/>
      <c r="H122" s="7"/>
      <c r="I122" s="7"/>
      <c r="J122" s="7"/>
      <c r="K122" s="7"/>
      <c r="L122" s="7"/>
      <c r="M122" s="7"/>
      <c r="N122" s="7"/>
      <c r="O122" s="7"/>
      <c r="P122" s="7"/>
      <c r="Q122" s="7"/>
      <c r="R122" s="7"/>
      <c r="S122" s="7"/>
      <c r="T122" s="7"/>
    </row>
    <row r="123" spans="1:41">
      <c r="A123" s="7"/>
      <c r="B123" s="7"/>
      <c r="C123" s="7"/>
      <c r="D123" s="7"/>
      <c r="E123" s="7"/>
      <c r="F123" s="7"/>
      <c r="G123" s="7"/>
      <c r="H123" s="7"/>
      <c r="I123" s="7"/>
      <c r="J123" s="7"/>
      <c r="K123" s="7"/>
      <c r="L123" s="7"/>
      <c r="M123" s="7"/>
      <c r="N123" s="7"/>
      <c r="O123" s="7"/>
      <c r="P123" s="7"/>
      <c r="Q123" s="7"/>
      <c r="R123" s="7"/>
      <c r="S123" s="7"/>
      <c r="T123" s="7"/>
    </row>
    <row r="124" spans="1:41">
      <c r="A124" s="7"/>
      <c r="B124" s="7"/>
      <c r="C124" s="7"/>
      <c r="D124" s="7"/>
      <c r="E124" s="7"/>
      <c r="F124" s="7"/>
      <c r="G124" s="7"/>
      <c r="H124" s="7"/>
      <c r="I124" s="7"/>
      <c r="J124" s="7"/>
      <c r="K124" s="7"/>
      <c r="L124" s="7"/>
      <c r="M124" s="7"/>
      <c r="N124" s="7"/>
      <c r="O124" s="7"/>
      <c r="P124" s="7"/>
      <c r="Q124" s="7"/>
      <c r="R124" s="7"/>
      <c r="S124" s="7"/>
      <c r="T124" s="7"/>
    </row>
    <row r="125" spans="1:41">
      <c r="A125" s="7"/>
      <c r="B125" s="7"/>
      <c r="C125" s="7"/>
      <c r="D125" s="7"/>
      <c r="E125" s="7"/>
      <c r="F125" s="7"/>
      <c r="G125" s="7"/>
      <c r="H125" s="7"/>
      <c r="I125" s="7"/>
      <c r="J125" s="7"/>
      <c r="K125" s="7"/>
      <c r="L125" s="7"/>
      <c r="M125" s="7"/>
      <c r="N125" s="7"/>
      <c r="O125" s="7"/>
      <c r="P125" s="7"/>
      <c r="Q125" s="7"/>
      <c r="R125" s="7"/>
      <c r="S125" s="7"/>
      <c r="T125" s="7"/>
    </row>
  </sheetData>
  <sheetProtection algorithmName="SHA-512" hashValue="1KA22BMmsd2AaOCq+ixvcdEDjmvXPcNqU2cBICatZXHRprXeQyZJ5P/yFpea0S/2l9jE0BqMs++ommlSM1NRkA==" saltValue="D0rvyC8eX+asXCQFyIA3fg==" spinCount="100000"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00B0F0"/>
    <pageSetUpPr fitToPage="1"/>
  </sheetPr>
  <dimension ref="A1:CV101"/>
  <sheetViews>
    <sheetView showGridLines="0" zoomScale="70" zoomScaleNormal="70" zoomScaleSheetLayoutView="70" workbookViewId="0">
      <pane xSplit="5328" topLeftCell="T1"/>
      <selection activeCell="G7" sqref="G7:G9"/>
      <selection pane="topRight" activeCell="AA8" sqref="AA8"/>
    </sheetView>
  </sheetViews>
  <sheetFormatPr defaultColWidth="9.109375" defaultRowHeight="14.4"/>
  <cols>
    <col min="1" max="1" width="7.5546875" customWidth="1"/>
    <col min="2" max="2" width="3.5546875" customWidth="1"/>
    <col min="3" max="3" width="19.109375" customWidth="1"/>
    <col min="4" max="4" width="3.5546875" customWidth="1"/>
    <col min="5" max="5" width="30.5546875" customWidth="1"/>
    <col min="6" max="6" width="3.5546875" customWidth="1"/>
    <col min="7" max="7" width="15.44140625" style="3" customWidth="1"/>
    <col min="8" max="8" width="19.5546875" style="3" customWidth="1"/>
    <col min="9" max="9" width="4.44140625" style="3" customWidth="1"/>
    <col min="10" max="10" width="12.5546875" style="3" customWidth="1"/>
    <col min="11" max="11" width="3" style="3" customWidth="1"/>
    <col min="12" max="12" width="12.5546875" style="8" customWidth="1"/>
    <col min="13" max="13" width="5" style="8" customWidth="1"/>
    <col min="14" max="14" width="3.44140625" style="8" customWidth="1"/>
    <col min="15" max="15" width="12.5546875" style="8" customWidth="1"/>
    <col min="16" max="16" width="3.109375" style="8" customWidth="1"/>
    <col min="17" max="17" width="2.44140625" style="14" customWidth="1"/>
    <col min="18" max="18" width="2.44140625" style="661" customWidth="1"/>
    <col min="19" max="19" width="2.109375" style="661" customWidth="1"/>
    <col min="20" max="20" width="2.109375" style="8" customWidth="1"/>
    <col min="21" max="21" width="5.44140625" style="8" customWidth="1"/>
    <col min="22" max="22" width="9.44140625" style="8" customWidth="1"/>
    <col min="23" max="23" width="6.5546875" style="3" customWidth="1"/>
    <col min="24" max="24" width="7.5546875" customWidth="1"/>
    <col min="25" max="25" width="8" customWidth="1"/>
    <col min="26" max="26" width="8.88671875" customWidth="1"/>
    <col min="27" max="27" width="7.5546875" customWidth="1"/>
    <col min="28" max="28" width="10" customWidth="1"/>
    <col min="29" max="29" width="2.5546875" style="7" customWidth="1"/>
    <col min="30" max="30" width="7.5546875" customWidth="1"/>
    <col min="31" max="31" width="8.5546875" customWidth="1"/>
    <col min="32" max="32" width="2.5546875" style="7" customWidth="1"/>
    <col min="33" max="33" width="7.5546875" customWidth="1"/>
    <col min="34" max="34" width="8.5546875" customWidth="1"/>
    <col min="35" max="35" width="7.44140625" style="7" customWidth="1"/>
    <col min="36" max="36" width="7.5546875" customWidth="1"/>
    <col min="37" max="37" width="8.5546875" customWidth="1"/>
    <col min="38" max="38" width="2.5546875" style="7" customWidth="1"/>
    <col min="39" max="39" width="7.88671875" customWidth="1"/>
    <col min="40" max="40" width="8.5546875" customWidth="1"/>
    <col min="41" max="41" width="2.5546875" style="7" customWidth="1"/>
    <col min="42" max="42" width="8.5546875" customWidth="1"/>
    <col min="43" max="43" width="8.44140625" customWidth="1"/>
    <col min="44" max="44" width="5.5546875" customWidth="1"/>
    <col min="45" max="45" width="8.5546875" style="3" customWidth="1"/>
    <col min="46" max="46" width="9.44140625" style="3" customWidth="1"/>
    <col min="47" max="47" width="9.5546875" style="3" customWidth="1"/>
    <col min="48" max="48" width="9.88671875" customWidth="1"/>
    <col min="49" max="49" width="3.44140625" customWidth="1"/>
    <col min="50" max="50" width="5.44140625" customWidth="1"/>
    <col min="51" max="51" width="2.44140625" customWidth="1"/>
    <col min="52" max="52" width="8.44140625" customWidth="1"/>
    <col min="53" max="53" width="2.5546875" customWidth="1"/>
    <col min="54" max="54" width="8.44140625" customWidth="1"/>
    <col min="55" max="55" width="2.109375" customWidth="1"/>
    <col min="56" max="56" width="8.44140625" customWidth="1"/>
    <col min="57" max="58" width="3.44140625" customWidth="1"/>
    <col min="59" max="59" width="2" customWidth="1"/>
    <col min="60" max="62" width="8.44140625" customWidth="1"/>
    <col min="63" max="63" width="9.44140625" customWidth="1"/>
    <col min="64" max="67" width="8.44140625" customWidth="1"/>
    <col min="68" max="73" width="5.44140625" customWidth="1"/>
    <col min="74" max="74" width="7.44140625" customWidth="1"/>
    <col min="75" max="75" width="24.109375" customWidth="1"/>
    <col min="76" max="76" width="11.44140625" hidden="1" customWidth="1"/>
    <col min="77" max="77" width="12.44140625" hidden="1" customWidth="1"/>
    <col min="78" max="78" width="10.88671875" hidden="1" customWidth="1"/>
    <col min="79" max="79" width="11.109375" hidden="1" customWidth="1"/>
    <col min="80" max="80" width="9.44140625" hidden="1" customWidth="1"/>
    <col min="81" max="81" width="10" hidden="1" customWidth="1"/>
    <col min="82" max="82" width="3.44140625" hidden="1" customWidth="1"/>
    <col min="83" max="83" width="10.44140625" hidden="1" customWidth="1"/>
    <col min="84" max="84" width="14.88671875" hidden="1" customWidth="1"/>
    <col min="85" max="85" width="6" style="3" hidden="1" customWidth="1"/>
    <col min="86" max="86" width="18.44140625" style="3" hidden="1" customWidth="1"/>
    <col min="87" max="87" width="7.88671875" hidden="1" customWidth="1"/>
    <col min="88" max="88" width="2.44140625" hidden="1" customWidth="1"/>
    <col min="89" max="89" width="12.5546875" hidden="1" customWidth="1"/>
    <col min="90" max="90" width="8" customWidth="1"/>
  </cols>
  <sheetData>
    <row r="1" spans="1:93" ht="14.25" customHeight="1">
      <c r="A1" s="194"/>
      <c r="B1" s="194"/>
      <c r="C1" s="194"/>
      <c r="D1" s="194"/>
      <c r="E1" s="194"/>
      <c r="F1" s="194"/>
      <c r="G1" s="194"/>
      <c r="H1" s="194"/>
      <c r="I1" s="194"/>
      <c r="J1" s="194"/>
      <c r="K1" s="194"/>
      <c r="L1" s="194"/>
      <c r="M1" s="194"/>
      <c r="N1" s="194"/>
      <c r="O1" s="194"/>
      <c r="P1" s="194"/>
      <c r="Q1" s="194"/>
      <c r="R1" s="659"/>
      <c r="S1" s="659"/>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row>
    <row r="2" spans="1:93" ht="25.5" customHeight="1">
      <c r="A2" s="194"/>
      <c r="B2" s="1876" t="s">
        <v>152</v>
      </c>
      <c r="C2" s="1876"/>
      <c r="D2" s="194"/>
      <c r="E2" s="194"/>
      <c r="F2" s="194"/>
      <c r="G2" s="383" t="s">
        <v>104</v>
      </c>
      <c r="H2" s="383"/>
      <c r="I2" s="194"/>
      <c r="J2" s="194"/>
      <c r="K2" s="194"/>
      <c r="L2" s="194"/>
      <c r="M2" s="322" t="s">
        <v>302</v>
      </c>
      <c r="N2" s="194"/>
      <c r="O2" s="194"/>
      <c r="P2" s="194"/>
      <c r="Q2" s="194"/>
      <c r="R2" s="659"/>
      <c r="S2" s="659"/>
      <c r="T2" s="194"/>
      <c r="U2" s="194"/>
      <c r="V2" s="1876" t="s">
        <v>153</v>
      </c>
      <c r="W2" s="1876"/>
      <c r="X2" s="1876"/>
      <c r="Y2" s="1876"/>
      <c r="Z2" s="1876"/>
      <c r="AA2" s="1876"/>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row>
    <row r="3" spans="1:93" ht="30" customHeight="1">
      <c r="A3" s="194"/>
      <c r="B3" s="194"/>
      <c r="C3" s="194"/>
      <c r="D3" s="194"/>
      <c r="E3" s="194"/>
      <c r="F3" s="194"/>
      <c r="G3" s="872">
        <f ca="1">TODAY()</f>
        <v>45392</v>
      </c>
      <c r="H3" s="383"/>
      <c r="I3" s="194"/>
      <c r="J3" s="194"/>
      <c r="K3" s="194"/>
      <c r="L3" s="194"/>
      <c r="M3" s="194"/>
      <c r="N3" s="1880">
        <v>42877</v>
      </c>
      <c r="O3" s="1881"/>
      <c r="P3" s="194"/>
      <c r="Q3" s="194"/>
      <c r="R3" s="659"/>
      <c r="S3" s="659"/>
      <c r="T3" s="194"/>
      <c r="U3" s="194"/>
      <c r="V3" s="194"/>
      <c r="W3" s="194"/>
      <c r="X3" s="194"/>
      <c r="Y3" s="194"/>
      <c r="Z3" s="194"/>
      <c r="AA3" s="194"/>
      <c r="AB3" s="194"/>
      <c r="AC3" s="613"/>
      <c r="AD3" s="615"/>
      <c r="AE3" s="615"/>
      <c r="AF3" s="615"/>
      <c r="AG3" s="615"/>
      <c r="AH3" s="615" t="s">
        <v>158</v>
      </c>
      <c r="AI3" s="615"/>
      <c r="AJ3" s="628"/>
      <c r="AK3" s="194"/>
      <c r="AL3" s="613" t="s">
        <v>148</v>
      </c>
      <c r="AM3" s="614"/>
      <c r="AN3" s="615"/>
      <c r="AO3" s="616"/>
      <c r="AP3" s="614"/>
      <c r="AQ3" s="614"/>
      <c r="AR3" s="617"/>
      <c r="AS3" s="194"/>
      <c r="AT3" s="194"/>
      <c r="AU3" s="194"/>
      <c r="AV3" s="194"/>
      <c r="AW3" s="194"/>
      <c r="AX3" s="194"/>
      <c r="AY3" s="194"/>
      <c r="AZ3" s="194"/>
      <c r="BA3" s="193"/>
      <c r="BB3" s="193"/>
      <c r="BC3" s="193"/>
      <c r="BD3" s="193"/>
      <c r="BE3" s="193"/>
      <c r="BF3" s="193"/>
      <c r="BG3" s="193"/>
      <c r="BH3" s="193"/>
      <c r="BI3" s="193"/>
      <c r="BJ3" s="193"/>
      <c r="BK3" s="193"/>
      <c r="BL3" s="193"/>
      <c r="BM3" s="193"/>
      <c r="BN3" s="193"/>
      <c r="BO3" s="193"/>
      <c r="BP3" s="193"/>
      <c r="BQ3" s="193"/>
      <c r="BR3" s="193"/>
      <c r="BS3" s="193"/>
      <c r="BT3" s="193"/>
      <c r="BU3" s="193"/>
      <c r="BV3" s="193"/>
      <c r="BW3" s="193"/>
    </row>
    <row r="4" spans="1:93" s="4" customFormat="1" ht="20.25" customHeight="1" thickBot="1">
      <c r="A4" s="194"/>
      <c r="B4" s="317"/>
      <c r="C4" s="317"/>
      <c r="D4" s="194"/>
      <c r="E4" s="194"/>
      <c r="F4" s="194"/>
      <c r="G4" s="194"/>
      <c r="H4" s="194"/>
      <c r="I4" s="194"/>
      <c r="J4" s="194"/>
      <c r="K4" s="194"/>
      <c r="L4" s="194"/>
      <c r="M4" s="194"/>
      <c r="N4" s="194"/>
      <c r="O4" s="194"/>
      <c r="P4" s="194"/>
      <c r="Q4" s="194"/>
      <c r="R4" s="659"/>
      <c r="S4" s="659"/>
      <c r="T4" s="194"/>
      <c r="U4" s="194"/>
      <c r="V4" s="194"/>
      <c r="W4" s="194"/>
      <c r="X4" s="194"/>
      <c r="Y4" s="194"/>
      <c r="Z4" s="194"/>
      <c r="AA4" s="194"/>
      <c r="AB4" s="194"/>
      <c r="AC4" s="629"/>
      <c r="AD4" s="263"/>
      <c r="AE4" s="263"/>
      <c r="AF4" s="263"/>
      <c r="AG4" s="263"/>
      <c r="AH4" s="263"/>
      <c r="AI4" s="32"/>
      <c r="AJ4" s="630"/>
      <c r="AK4" s="194"/>
      <c r="AL4" s="618"/>
      <c r="AM4" s="304"/>
      <c r="AN4" s="304"/>
      <c r="AO4" s="304"/>
      <c r="AQ4" s="303" t="s">
        <v>249</v>
      </c>
      <c r="AR4" s="623"/>
      <c r="AS4" s="194"/>
      <c r="AT4" s="194"/>
      <c r="AU4" s="194"/>
      <c r="AV4" s="194"/>
      <c r="AW4" s="194"/>
      <c r="AX4" s="194"/>
      <c r="AY4" s="194"/>
      <c r="AZ4" s="194"/>
      <c r="BA4" s="322"/>
      <c r="BB4" s="322"/>
      <c r="BC4" s="322"/>
      <c r="BD4" s="207"/>
      <c r="BE4" s="317"/>
      <c r="BF4" s="317"/>
      <c r="BG4" s="317"/>
      <c r="BH4" s="317"/>
      <c r="BI4" s="317"/>
      <c r="BJ4" s="317"/>
      <c r="BK4" s="317"/>
      <c r="BL4" s="317"/>
      <c r="BM4" s="317"/>
      <c r="BN4" s="317"/>
      <c r="BO4" s="317"/>
      <c r="BP4" s="317"/>
      <c r="BQ4" s="317"/>
      <c r="BR4" s="317"/>
      <c r="BS4" s="317"/>
      <c r="BT4" s="317"/>
      <c r="BU4" s="317"/>
      <c r="BV4" s="317"/>
      <c r="BW4" s="317"/>
      <c r="BX4" s="14"/>
      <c r="BY4" s="4" t="s">
        <v>155</v>
      </c>
      <c r="CI4" s="17"/>
      <c r="CJ4" s="17"/>
    </row>
    <row r="5" spans="1:93" s="4" customFormat="1" ht="24.75" customHeight="1" thickBot="1">
      <c r="A5" s="194"/>
      <c r="B5" s="1871" t="s">
        <v>150</v>
      </c>
      <c r="C5" s="1872"/>
      <c r="D5" s="1872"/>
      <c r="E5" s="1872"/>
      <c r="F5" s="1872"/>
      <c r="G5" s="797"/>
      <c r="H5" s="797"/>
      <c r="I5" s="797"/>
      <c r="J5" s="797"/>
      <c r="K5" s="797"/>
      <c r="L5" s="797"/>
      <c r="M5" s="797"/>
      <c r="N5" s="797"/>
      <c r="O5" s="797"/>
      <c r="P5" s="798"/>
      <c r="Q5" s="194"/>
      <c r="R5" s="659"/>
      <c r="S5" s="659"/>
      <c r="T5" s="194"/>
      <c r="U5" s="194"/>
      <c r="V5" s="1877" t="s">
        <v>266</v>
      </c>
      <c r="W5" s="1878"/>
      <c r="X5" s="1878"/>
      <c r="Y5" s="1878"/>
      <c r="Z5" s="1878"/>
      <c r="AA5" s="1879"/>
      <c r="AB5" s="194"/>
      <c r="AC5" s="619" t="s">
        <v>244</v>
      </c>
      <c r="AD5" s="317"/>
      <c r="AE5" s="317"/>
      <c r="AF5" s="317"/>
      <c r="AG5" s="317"/>
      <c r="AH5" s="317"/>
      <c r="AI5" s="858" t="s">
        <v>69</v>
      </c>
      <c r="AJ5" s="859"/>
      <c r="AK5" s="194"/>
      <c r="AL5" s="619" t="s">
        <v>35</v>
      </c>
      <c r="AM5" s="306"/>
      <c r="AN5" s="306"/>
      <c r="AO5" s="306"/>
      <c r="AP5" s="306"/>
      <c r="AQ5" s="307" t="str">
        <f>IF($J$53="Yes",VLOOKUP(G8,'Data source'!$B$190:$C$199,2,FALSE),"")</f>
        <v/>
      </c>
      <c r="AR5" s="624"/>
      <c r="AS5" s="194"/>
      <c r="AT5" s="194"/>
      <c r="AU5" s="194"/>
      <c r="AV5" s="194"/>
      <c r="AW5" s="194"/>
      <c r="AX5" s="194"/>
      <c r="AY5" s="194"/>
      <c r="AZ5" s="194"/>
      <c r="BA5" s="722"/>
      <c r="BB5" s="324"/>
      <c r="BC5" s="324"/>
      <c r="BD5" s="217"/>
      <c r="BE5" s="317"/>
      <c r="BF5" s="317"/>
      <c r="BG5" s="317"/>
      <c r="BH5" s="317"/>
      <c r="BI5" s="317"/>
      <c r="BJ5" s="317"/>
      <c r="BK5" s="317"/>
      <c r="BL5" s="317"/>
      <c r="BM5" s="317"/>
      <c r="BN5" s="317"/>
      <c r="BO5" s="317"/>
      <c r="BP5" s="317"/>
      <c r="BQ5" s="317"/>
      <c r="BR5" s="317"/>
      <c r="BS5" s="317"/>
      <c r="BT5" s="317"/>
      <c r="BU5" s="317"/>
      <c r="BV5" s="317"/>
      <c r="BW5" s="317"/>
      <c r="BX5" s="14"/>
      <c r="CI5" s="17"/>
      <c r="CJ5" s="17"/>
    </row>
    <row r="6" spans="1:93" ht="22.5" customHeight="1" thickBot="1">
      <c r="A6" s="194"/>
      <c r="B6" s="799"/>
      <c r="C6" s="774" t="s">
        <v>106</v>
      </c>
      <c r="D6" s="552"/>
      <c r="E6" s="552"/>
      <c r="F6" s="552"/>
      <c r="G6" s="869" t="str">
        <f>IF('   ASK    '!K8="","",'   ASK    '!K8)</f>
        <v>Friesian</v>
      </c>
      <c r="H6" s="191"/>
      <c r="I6" s="591" t="s">
        <v>127</v>
      </c>
      <c r="J6" s="587"/>
      <c r="K6" s="587"/>
      <c r="L6" s="587"/>
      <c r="M6" s="587"/>
      <c r="N6" s="587"/>
      <c r="O6" s="791">
        <v>150</v>
      </c>
      <c r="P6" s="800"/>
      <c r="Q6" s="194"/>
      <c r="R6" s="659"/>
      <c r="S6" s="659"/>
      <c r="T6" s="194"/>
      <c r="U6" s="194"/>
      <c r="V6" s="1873" t="s">
        <v>308</v>
      </c>
      <c r="W6" s="1874"/>
      <c r="X6" s="1874"/>
      <c r="Y6" s="1874"/>
      <c r="Z6" s="1875"/>
      <c r="AA6" s="723" t="s">
        <v>179</v>
      </c>
      <c r="AB6" s="194"/>
      <c r="AC6" s="631" t="s">
        <v>245</v>
      </c>
      <c r="AD6" s="452"/>
      <c r="AE6" s="452"/>
      <c r="AF6" s="452"/>
      <c r="AG6" s="452"/>
      <c r="AH6" s="452"/>
      <c r="AI6" s="854">
        <v>2</v>
      </c>
      <c r="AJ6" s="855"/>
      <c r="AK6" s="194"/>
      <c r="AL6" s="620" t="s">
        <v>47</v>
      </c>
      <c r="AM6" s="305"/>
      <c r="AN6" s="305"/>
      <c r="AO6" s="305"/>
      <c r="AQ6" s="227" t="str">
        <f>IF($J$53="Yes",$O$7*$BZ$12,"")</f>
        <v/>
      </c>
      <c r="AR6" s="623"/>
      <c r="AS6" s="194"/>
      <c r="AT6" s="194"/>
      <c r="AU6" s="194"/>
      <c r="AV6" s="194"/>
      <c r="AW6" s="194"/>
      <c r="AX6" s="194"/>
      <c r="AY6" s="194"/>
      <c r="AZ6" s="194"/>
      <c r="BA6" s="325"/>
      <c r="BB6" s="326"/>
      <c r="BC6" s="326"/>
      <c r="BD6" s="217"/>
      <c r="BE6" s="193"/>
      <c r="BF6" s="193"/>
      <c r="BG6" s="193"/>
      <c r="BH6" s="193"/>
      <c r="BI6" s="193"/>
      <c r="BJ6" s="193"/>
      <c r="BK6" s="193"/>
      <c r="BL6" s="193"/>
      <c r="BM6" s="193"/>
      <c r="BN6" s="193"/>
      <c r="BO6" s="193"/>
      <c r="BP6" s="193"/>
      <c r="BQ6" s="193"/>
      <c r="BR6" s="193"/>
      <c r="BS6" s="193"/>
      <c r="BT6" s="193"/>
      <c r="BU6" s="193"/>
      <c r="BV6" s="194"/>
      <c r="BW6" s="193"/>
      <c r="BX6" s="14"/>
      <c r="BY6" s="7"/>
      <c r="BZ6" s="7"/>
      <c r="CA6" s="7"/>
      <c r="CB6" s="7"/>
      <c r="CC6" s="7"/>
      <c r="CD6" s="7"/>
      <c r="CE6" s="7"/>
      <c r="CF6" s="7"/>
      <c r="CG6" s="7"/>
      <c r="CH6" s="7"/>
      <c r="CI6" s="8"/>
      <c r="CJ6" s="8"/>
      <c r="CK6" s="7"/>
    </row>
    <row r="7" spans="1:93" ht="22.5" customHeight="1">
      <c r="A7" s="194"/>
      <c r="B7" s="801"/>
      <c r="C7" s="860" t="s">
        <v>63</v>
      </c>
      <c r="D7" s="191"/>
      <c r="E7" s="191"/>
      <c r="F7" s="191"/>
      <c r="G7" s="851" t="str">
        <f>IF('   ASK    '!K14="","",'   ASK    '!K14)</f>
        <v>Late</v>
      </c>
      <c r="H7" s="191"/>
      <c r="I7" s="860" t="s">
        <v>198</v>
      </c>
      <c r="J7" s="860"/>
      <c r="K7" s="860"/>
      <c r="L7" s="860"/>
      <c r="N7" s="790"/>
      <c r="O7" s="792">
        <v>1.1000000000000001</v>
      </c>
      <c r="P7" s="800"/>
      <c r="Q7" s="194"/>
      <c r="R7" s="659"/>
      <c r="S7" s="659"/>
      <c r="T7" s="194"/>
      <c r="U7" s="194"/>
      <c r="V7" s="1873" t="s">
        <v>117</v>
      </c>
      <c r="W7" s="1874"/>
      <c r="X7" s="1874"/>
      <c r="Y7" s="1874"/>
      <c r="Z7" s="1875"/>
      <c r="AA7" s="723" t="s">
        <v>179</v>
      </c>
      <c r="AB7" s="194"/>
      <c r="AC7" s="632" t="s">
        <v>160</v>
      </c>
      <c r="AD7" s="587"/>
      <c r="AE7" s="587"/>
      <c r="AF7" s="587"/>
      <c r="AG7" s="587"/>
      <c r="AH7" s="587"/>
      <c r="AI7" s="856"/>
      <c r="AJ7" s="857"/>
      <c r="AK7" s="194"/>
      <c r="AL7" s="619" t="s">
        <v>48</v>
      </c>
      <c r="AM7" s="306"/>
      <c r="AN7" s="306"/>
      <c r="AO7" s="306"/>
      <c r="AP7" s="306"/>
      <c r="AQ7" s="307" t="str">
        <f>IF($J$53="Yes",IF($G$9&lt;0,$CE$9,IF($G$9&gt;0,$CE$10,0)),"")</f>
        <v/>
      </c>
      <c r="AR7" s="624"/>
      <c r="AS7" s="194"/>
      <c r="AT7" s="194"/>
      <c r="AU7" s="194"/>
      <c r="AV7" s="194"/>
      <c r="AW7" s="194"/>
      <c r="AX7" s="194"/>
      <c r="AY7" s="194"/>
      <c r="AZ7" s="194"/>
      <c r="BA7" s="193"/>
      <c r="BB7" s="193"/>
      <c r="BC7" s="193"/>
      <c r="BD7" s="193"/>
      <c r="BE7" s="193"/>
      <c r="BF7" s="193"/>
      <c r="BG7" s="193"/>
      <c r="BH7" s="193"/>
      <c r="BI7" s="193"/>
      <c r="BJ7" s="193"/>
      <c r="BK7" s="193"/>
      <c r="BL7" s="193"/>
      <c r="BM7" s="193"/>
      <c r="BN7" s="193"/>
      <c r="BO7" s="193"/>
      <c r="BP7" s="193"/>
      <c r="BQ7" s="193"/>
      <c r="BR7" s="193"/>
      <c r="BS7" s="193"/>
      <c r="BT7" s="193"/>
      <c r="BU7" s="193"/>
      <c r="BV7" s="194"/>
      <c r="BW7" s="193"/>
      <c r="BX7" s="14"/>
      <c r="BY7" s="7"/>
      <c r="BZ7" s="7" t="s">
        <v>242</v>
      </c>
      <c r="CA7" s="7" t="s">
        <v>243</v>
      </c>
      <c r="CB7" s="7"/>
      <c r="CC7" s="7"/>
      <c r="CE7" s="7" t="s">
        <v>242</v>
      </c>
      <c r="CF7" s="7" t="s">
        <v>243</v>
      </c>
      <c r="CG7" s="7"/>
      <c r="CH7" s="9"/>
      <c r="CI7" s="7" t="s">
        <v>242</v>
      </c>
      <c r="CK7" s="7" t="s">
        <v>243</v>
      </c>
    </row>
    <row r="8" spans="1:93" ht="22.5" customHeight="1">
      <c r="A8" s="194"/>
      <c r="B8" s="799"/>
      <c r="C8" s="774" t="s">
        <v>241</v>
      </c>
      <c r="D8" s="552"/>
      <c r="E8" s="552"/>
      <c r="F8" s="552"/>
      <c r="G8" s="870">
        <f>IF('   ASK    '!K11="","",'   ASK    '!K11)</f>
        <v>600</v>
      </c>
      <c r="H8" s="191"/>
      <c r="I8" s="591" t="s">
        <v>105</v>
      </c>
      <c r="J8" s="587"/>
      <c r="K8" s="587"/>
      <c r="L8" s="587"/>
      <c r="M8" s="587"/>
      <c r="N8" s="587"/>
      <c r="O8" s="870" t="str">
        <f>IF('   ASK    '!E11="","",'   ASK    '!E11)</f>
        <v>flat</v>
      </c>
      <c r="P8" s="800"/>
      <c r="Q8" s="194"/>
      <c r="R8" s="659"/>
      <c r="S8" s="659"/>
      <c r="T8" s="194"/>
      <c r="U8" s="194"/>
      <c r="V8" s="1873" t="s">
        <v>267</v>
      </c>
      <c r="W8" s="1874"/>
      <c r="X8" s="1874"/>
      <c r="Y8" s="1874"/>
      <c r="Z8" s="1875"/>
      <c r="AA8" s="723" t="s">
        <v>179</v>
      </c>
      <c r="AB8" s="194"/>
      <c r="AC8" s="633" t="s">
        <v>190</v>
      </c>
      <c r="AD8" s="634"/>
      <c r="AE8" s="634"/>
      <c r="AF8" s="634"/>
      <c r="AG8" s="634"/>
      <c r="AH8" s="634"/>
      <c r="AI8" s="635"/>
      <c r="AJ8" s="636"/>
      <c r="AK8" s="194"/>
      <c r="AL8" s="620" t="s">
        <v>40</v>
      </c>
      <c r="AM8" s="305"/>
      <c r="AN8" s="305"/>
      <c r="AO8" s="305"/>
      <c r="AQ8" s="227" t="str">
        <f>IF($J$53="Yes",BZ13,"")</f>
        <v/>
      </c>
      <c r="AR8" s="623"/>
      <c r="AS8" s="194"/>
      <c r="AT8" s="194"/>
      <c r="AU8" s="194"/>
      <c r="AV8" s="194"/>
      <c r="AW8" s="194"/>
      <c r="AX8" s="194"/>
      <c r="AY8" s="194"/>
      <c r="AZ8" s="194"/>
      <c r="BA8" s="193"/>
      <c r="BB8" s="193"/>
      <c r="BC8" s="193"/>
      <c r="BD8" s="193"/>
      <c r="BE8" s="193"/>
      <c r="BF8" s="193"/>
      <c r="BG8" s="193"/>
      <c r="BH8" s="193"/>
      <c r="BI8" s="193"/>
      <c r="BJ8" s="193"/>
      <c r="BK8" s="193"/>
      <c r="BL8" s="193"/>
      <c r="BM8" s="193"/>
      <c r="BN8" s="193"/>
      <c r="BO8" s="193"/>
      <c r="BP8" s="193"/>
      <c r="BQ8" s="193"/>
      <c r="BR8" s="193"/>
      <c r="BS8" s="193"/>
      <c r="BT8" s="193"/>
      <c r="BU8" s="193"/>
      <c r="BV8" s="194"/>
      <c r="BW8" s="193"/>
      <c r="BX8" s="14"/>
      <c r="BY8" s="34" t="s">
        <v>83</v>
      </c>
      <c r="BZ8" s="35">
        <f>IF($G$7="-","",VLOOKUP($G$7,'Data source'!$B$251:$C$254,2,FALSE))</f>
        <v>14</v>
      </c>
      <c r="CA8" s="35">
        <f>$BZ$8</f>
        <v>14</v>
      </c>
      <c r="CC8" s="34" t="s">
        <v>82</v>
      </c>
      <c r="CE8" s="37">
        <f>IF(OR(G8="-",G9="-"),"",ABS($G$8*0.0658*$G$9)/30)</f>
        <v>0.13159999999999999</v>
      </c>
      <c r="CF8" s="37">
        <f>CE8</f>
        <v>0.13159999999999999</v>
      </c>
      <c r="CG8"/>
      <c r="CH8" s="46" t="s">
        <v>85</v>
      </c>
      <c r="CI8" s="47" t="e">
        <f>$AB$16/$Y$49</f>
        <v>#VALUE!</v>
      </c>
      <c r="CK8" s="47" t="str">
        <f>IF($Y$50="","",$AB$18/$Y$50)</f>
        <v/>
      </c>
      <c r="CL8" s="34"/>
      <c r="CM8" s="29"/>
      <c r="CO8" s="29"/>
    </row>
    <row r="9" spans="1:93" ht="21.75" customHeight="1">
      <c r="A9" s="194"/>
      <c r="B9" s="801"/>
      <c r="C9" s="860" t="s">
        <v>253</v>
      </c>
      <c r="D9" s="191"/>
      <c r="E9" s="191"/>
      <c r="F9" s="191"/>
      <c r="G9" s="777">
        <v>-0.1</v>
      </c>
      <c r="H9" s="191"/>
      <c r="I9" s="860" t="s">
        <v>255</v>
      </c>
      <c r="J9" s="860"/>
      <c r="K9" s="860"/>
      <c r="L9" s="860"/>
      <c r="M9" s="860"/>
      <c r="N9" s="860"/>
      <c r="O9" s="792">
        <v>1.5</v>
      </c>
      <c r="P9" s="800"/>
      <c r="Q9" s="194"/>
      <c r="R9" s="659"/>
      <c r="S9" s="659"/>
      <c r="T9" s="194"/>
      <c r="U9" s="194"/>
      <c r="V9" s="1883" t="s">
        <v>350</v>
      </c>
      <c r="W9" s="1884"/>
      <c r="X9" s="1884"/>
      <c r="Y9" s="1884"/>
      <c r="Z9" s="1885"/>
      <c r="AA9" s="724" t="s">
        <v>180</v>
      </c>
      <c r="AB9" s="194"/>
      <c r="AC9" s="194"/>
      <c r="AD9" s="194"/>
      <c r="AE9" s="194"/>
      <c r="AF9" s="194"/>
      <c r="AG9" s="194"/>
      <c r="AH9" s="194"/>
      <c r="AI9" s="194"/>
      <c r="AJ9" s="194"/>
      <c r="AK9" s="194"/>
      <c r="AL9" s="619" t="s">
        <v>46</v>
      </c>
      <c r="AM9" s="306"/>
      <c r="AN9" s="306"/>
      <c r="AO9" s="306"/>
      <c r="AP9" s="306"/>
      <c r="AQ9" s="307" t="str">
        <f>IF($J$53="Yes",$BZ$14*O9,"")</f>
        <v/>
      </c>
      <c r="AR9" s="624"/>
      <c r="AS9" s="193"/>
      <c r="AT9" s="194"/>
      <c r="AU9" s="194"/>
      <c r="AV9" s="194"/>
      <c r="AW9" s="194"/>
      <c r="AX9" s="194"/>
      <c r="AY9" s="194"/>
      <c r="AZ9" s="194"/>
      <c r="BA9" s="193"/>
      <c r="BB9" s="193"/>
      <c r="BC9" s="193"/>
      <c r="BD9" s="193"/>
      <c r="BE9" s="193"/>
      <c r="BF9" s="193"/>
      <c r="BG9" s="193"/>
      <c r="BH9" s="193"/>
      <c r="BI9" s="193"/>
      <c r="BJ9" s="193"/>
      <c r="BK9" s="193"/>
      <c r="BL9" s="193"/>
      <c r="BM9" s="193"/>
      <c r="BN9" s="193"/>
      <c r="BO9" s="193"/>
      <c r="BP9" s="193"/>
      <c r="BQ9" s="193"/>
      <c r="BR9" s="193"/>
      <c r="BS9" s="193"/>
      <c r="BT9" s="193"/>
      <c r="BU9" s="193"/>
      <c r="BV9" s="194"/>
      <c r="BW9" s="193"/>
      <c r="BX9" s="14"/>
      <c r="BY9" s="34" t="s">
        <v>68</v>
      </c>
      <c r="BZ9" s="35" t="str">
        <f xml:space="preserve"> IF($G$6="-","",IF($G$6="Jersey","j",IF($G$6="Friesian","f",IF($G$6="cross-bred","x","-"))))</f>
        <v>f</v>
      </c>
      <c r="CA9" s="35" t="str">
        <f t="shared" ref="CA9:CA14" si="0">BZ9</f>
        <v>f</v>
      </c>
      <c r="CC9" s="34" t="s">
        <v>80</v>
      </c>
      <c r="CE9" s="38">
        <f xml:space="preserve"> IF($G$7="-","",IF($G$7="dry",$CE$8*-30,$CE$8*-37))</f>
        <v>-4.8692000000000002</v>
      </c>
      <c r="CF9" s="37">
        <f t="shared" ref="CF9:CF14" si="1">CE9</f>
        <v>-4.8692000000000002</v>
      </c>
      <c r="CG9"/>
      <c r="CH9" s="34" t="s">
        <v>87</v>
      </c>
      <c r="CI9" s="49" t="e">
        <f>$AQ$10/$CI$8</f>
        <v>#VALUE!</v>
      </c>
      <c r="CK9" s="49" t="str">
        <f>IF(CK8="","",CI9)</f>
        <v/>
      </c>
      <c r="CL9" s="34"/>
    </row>
    <row r="10" spans="1:93" ht="22.5" customHeight="1">
      <c r="A10" s="194"/>
      <c r="B10" s="799"/>
      <c r="C10" s="774" t="s">
        <v>251</v>
      </c>
      <c r="D10" s="552"/>
      <c r="E10" s="552"/>
      <c r="F10" s="552"/>
      <c r="G10" s="871">
        <f>IF('   ASK    '!E14="","",'   ASK    '!E14)</f>
        <v>42917</v>
      </c>
      <c r="H10" s="191"/>
      <c r="I10" s="591" t="s">
        <v>252</v>
      </c>
      <c r="J10" s="591"/>
      <c r="K10" s="591"/>
      <c r="L10" s="587"/>
      <c r="M10" s="587"/>
      <c r="N10" s="587"/>
      <c r="O10" s="878">
        <f>IF(G10="","&lt;--- enter PSC",IF(N3="",(G10-G3)/7,(G10-N3)/7))</f>
        <v>5.7142857142857144</v>
      </c>
      <c r="P10" s="800"/>
      <c r="Q10" s="194"/>
      <c r="R10" s="659"/>
      <c r="S10" s="659"/>
      <c r="T10" s="194"/>
      <c r="U10" s="193"/>
      <c r="V10" s="193"/>
      <c r="W10" s="193"/>
      <c r="X10" s="193"/>
      <c r="Y10" s="193"/>
      <c r="Z10" s="193"/>
      <c r="AA10" s="193"/>
      <c r="AB10" s="194"/>
      <c r="AC10" s="194"/>
      <c r="AD10" s="194"/>
      <c r="AE10" s="194"/>
      <c r="AF10" s="194"/>
      <c r="AG10" s="194"/>
      <c r="AH10" s="194"/>
      <c r="AI10" s="194"/>
      <c r="AJ10" s="194"/>
      <c r="AK10" s="194"/>
      <c r="AL10" s="627" t="s">
        <v>3</v>
      </c>
      <c r="AM10" s="621"/>
      <c r="AN10" s="621"/>
      <c r="AO10" s="621"/>
      <c r="AP10" s="622"/>
      <c r="AQ10" s="625" t="str">
        <f>IF($J$53="Yes",SUM(AQ5:AQ9),"")</f>
        <v/>
      </c>
      <c r="AR10" s="626"/>
      <c r="AS10" s="193"/>
      <c r="AT10" s="194"/>
      <c r="AU10" s="194"/>
      <c r="AV10" s="194"/>
      <c r="AW10" s="194"/>
      <c r="AX10" s="194"/>
      <c r="AY10" s="194"/>
      <c r="AZ10" s="194"/>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4"/>
      <c r="BW10" s="193"/>
      <c r="BX10" s="14"/>
      <c r="BY10" s="36" t="s">
        <v>76</v>
      </c>
      <c r="BZ10" s="39" t="e">
        <f>IF($CI$8&lt;=10.5,1,IF(AND($CI$8&gt;10.5,$CI$8&lt;11.5),2,IF($CI$8&gt;=11.5,3,"")))</f>
        <v>#VALUE!</v>
      </c>
      <c r="CA10" s="35" t="e">
        <f t="shared" si="0"/>
        <v>#VALUE!</v>
      </c>
      <c r="CC10" s="34" t="s">
        <v>81</v>
      </c>
      <c r="CE10" s="38">
        <f>IF($G$7="-","",IF($G$7="dry",$CE$8*72,$CE$8*50))</f>
        <v>6.58</v>
      </c>
      <c r="CF10" s="37">
        <f>CE10</f>
        <v>6.58</v>
      </c>
      <c r="CG10"/>
      <c r="CH10" s="34" t="s">
        <v>86</v>
      </c>
      <c r="CI10" s="50" t="e">
        <f>AB16-$AQ$10</f>
        <v>#VALUE!</v>
      </c>
      <c r="CK10" s="49" t="str">
        <f>IF($AB$18="","",$AB$18-$AQ$10)</f>
        <v/>
      </c>
      <c r="CL10" s="34"/>
    </row>
    <row r="11" spans="1:93" ht="21.75" customHeight="1">
      <c r="A11" s="194"/>
      <c r="B11" s="802"/>
      <c r="C11" s="803"/>
      <c r="D11" s="804"/>
      <c r="E11" s="804"/>
      <c r="F11" s="804"/>
      <c r="G11" s="804"/>
      <c r="H11" s="804"/>
      <c r="I11" s="804"/>
      <c r="J11" s="804"/>
      <c r="K11" s="804"/>
      <c r="L11" s="804"/>
      <c r="M11" s="804"/>
      <c r="N11" s="805"/>
      <c r="O11" s="806"/>
      <c r="P11" s="807"/>
      <c r="Q11" s="194"/>
      <c r="R11" s="659"/>
      <c r="S11" s="659"/>
      <c r="T11" s="194"/>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4"/>
      <c r="BW11" s="193"/>
      <c r="BX11" s="14"/>
      <c r="BY11" s="34" t="s">
        <v>77</v>
      </c>
      <c r="BZ11" s="77">
        <f>IF(O10="","",IF($O$10&gt;12,"12+",$O$10))</f>
        <v>5.7142857142857144</v>
      </c>
      <c r="CA11" s="37">
        <f t="shared" si="0"/>
        <v>5.7142857142857144</v>
      </c>
      <c r="CC11" s="34" t="s">
        <v>84</v>
      </c>
      <c r="CE11" s="40" t="e">
        <f>CI11</f>
        <v>#VALUE!</v>
      </c>
      <c r="CF11" s="37" t="e">
        <f t="shared" si="1"/>
        <v>#VALUE!</v>
      </c>
      <c r="CG11"/>
      <c r="CH11" s="34" t="s">
        <v>50</v>
      </c>
      <c r="CI11" s="50" t="e">
        <f>$CI$10/$CI$8</f>
        <v>#VALUE!</v>
      </c>
      <c r="CK11" s="50" t="str">
        <f>IF($CK$8="","",$CK$10/$CK$8)</f>
        <v/>
      </c>
      <c r="CL11" s="34"/>
      <c r="CM11" s="4"/>
      <c r="CN11" s="34"/>
      <c r="CO11" s="4"/>
    </row>
    <row r="12" spans="1:93" ht="23.25" customHeight="1">
      <c r="A12" s="194"/>
      <c r="B12" s="194"/>
      <c r="C12" s="194"/>
      <c r="D12" s="194"/>
      <c r="E12" s="194"/>
      <c r="F12" s="194"/>
      <c r="G12" s="194"/>
      <c r="H12" s="194"/>
      <c r="I12" s="194"/>
      <c r="J12" s="194"/>
      <c r="K12" s="194"/>
      <c r="L12" s="194"/>
      <c r="M12" s="194"/>
      <c r="N12" s="194"/>
      <c r="O12" s="194"/>
      <c r="P12" s="194"/>
      <c r="Q12" s="194"/>
      <c r="R12" s="659"/>
      <c r="S12" s="659"/>
      <c r="T12" s="194"/>
      <c r="U12" s="214"/>
      <c r="V12" s="698" t="s">
        <v>174</v>
      </c>
      <c r="W12" s="674"/>
      <c r="X12" s="675"/>
      <c r="Y12" s="675"/>
      <c r="Z12" s="675"/>
      <c r="AA12" s="675" t="s">
        <v>250</v>
      </c>
      <c r="AB12" s="675"/>
      <c r="AC12" s="675"/>
      <c r="AD12" s="675"/>
      <c r="AE12" s="675"/>
      <c r="AF12" s="675"/>
      <c r="AG12" s="675"/>
      <c r="AH12" s="675"/>
      <c r="AI12" s="675"/>
      <c r="AJ12" s="675"/>
      <c r="AK12" s="675"/>
      <c r="AL12" s="675"/>
      <c r="AM12" s="675"/>
      <c r="AN12" s="673"/>
      <c r="AO12" s="673"/>
      <c r="AP12" s="676"/>
      <c r="AQ12" s="673"/>
      <c r="AR12" s="673"/>
      <c r="AS12" s="688"/>
      <c r="AT12" s="688"/>
      <c r="AU12" s="688"/>
      <c r="AV12" s="688"/>
      <c r="AW12" s="193"/>
      <c r="AX12" s="193"/>
      <c r="AY12" s="1886" t="s">
        <v>278</v>
      </c>
      <c r="AZ12" s="1886"/>
      <c r="BA12" s="1886"/>
      <c r="BB12" s="1886"/>
      <c r="BC12" s="1886"/>
      <c r="BD12" s="1886"/>
      <c r="BE12" s="1886"/>
      <c r="BF12" s="193"/>
      <c r="BG12" s="712"/>
      <c r="BH12" s="712"/>
      <c r="BI12" s="712"/>
      <c r="BJ12" s="715" t="s">
        <v>350</v>
      </c>
      <c r="BK12" s="712"/>
      <c r="BL12" s="712"/>
      <c r="BM12" s="712"/>
      <c r="BN12" s="712"/>
      <c r="BO12" s="712"/>
      <c r="BP12" s="716" t="s">
        <v>296</v>
      </c>
      <c r="BQ12" s="712"/>
      <c r="BR12" s="712"/>
      <c r="BS12" s="194"/>
      <c r="BT12" s="194"/>
      <c r="BU12" s="194"/>
      <c r="BV12" s="194"/>
      <c r="BW12" s="193"/>
      <c r="BX12" s="14"/>
      <c r="BY12" s="34" t="s">
        <v>78</v>
      </c>
      <c r="BZ12" s="35" t="e">
        <f>IF(AND($BZ$10=1,$BZ$9="j"),81,IF(AND($BZ$10=2,$BZ$9="j"),77,IF(AND($BZ$10=3,$BZ$9="j"),74,IF(AND($BZ$10=1,$BZ$9="x"),84,IF(AND($BZ$10=2,$BZ$9="x"),80,IF(AND($BZ$10=3,$BZ$9="x"),77,IF(AND($BZ$10=1,$BZ$9="f"),86,IF(AND($BZ$10=2,$BZ$9="f"),82,IF(AND($BZ$10=3,$BZ$9="f"),79,"")))))))))</f>
        <v>#VALUE!</v>
      </c>
      <c r="CA12" s="35" t="e">
        <f t="shared" si="0"/>
        <v>#VALUE!</v>
      </c>
      <c r="CC12" s="34" t="s">
        <v>95</v>
      </c>
      <c r="CE12" s="41">
        <v>0.35</v>
      </c>
      <c r="CF12" s="571">
        <f t="shared" si="1"/>
        <v>0.35</v>
      </c>
      <c r="CG12"/>
      <c r="CH12"/>
      <c r="CI12" s="3"/>
      <c r="CJ12" s="3"/>
    </row>
    <row r="13" spans="1:93" ht="22.5" customHeight="1">
      <c r="A13" s="194"/>
      <c r="B13" s="1871" t="s">
        <v>300</v>
      </c>
      <c r="C13" s="1872"/>
      <c r="D13" s="1872"/>
      <c r="E13" s="1872"/>
      <c r="F13" s="1872"/>
      <c r="G13" s="808"/>
      <c r="H13" s="808"/>
      <c r="I13" s="808"/>
      <c r="J13" s="809" t="s">
        <v>154</v>
      </c>
      <c r="K13" s="808"/>
      <c r="L13" s="810" t="s">
        <v>301</v>
      </c>
      <c r="M13" s="796"/>
      <c r="N13" s="796"/>
      <c r="O13" s="796"/>
      <c r="P13" s="811"/>
      <c r="Q13" s="194"/>
      <c r="R13" s="659"/>
      <c r="S13" s="659"/>
      <c r="T13" s="194"/>
      <c r="U13" s="194"/>
      <c r="V13" s="677"/>
      <c r="W13" s="678"/>
      <c r="X13" s="679"/>
      <c r="Y13" s="669"/>
      <c r="Z13" s="670" t="s">
        <v>120</v>
      </c>
      <c r="AA13" s="671" t="s">
        <v>166</v>
      </c>
      <c r="AB13" s="670" t="s">
        <v>154</v>
      </c>
      <c r="AC13" s="669"/>
      <c r="AD13" s="669"/>
      <c r="AE13" s="670" t="s">
        <v>142</v>
      </c>
      <c r="AF13" s="669"/>
      <c r="AG13" s="669"/>
      <c r="AH13" s="670" t="s">
        <v>12</v>
      </c>
      <c r="AI13" s="670"/>
      <c r="AJ13" s="669"/>
      <c r="AK13" s="670" t="s">
        <v>13</v>
      </c>
      <c r="AL13" s="669"/>
      <c r="AM13" s="669"/>
      <c r="AN13" s="670" t="s">
        <v>143</v>
      </c>
      <c r="AO13" s="670"/>
      <c r="AP13" s="672"/>
      <c r="AQ13" s="670" t="s">
        <v>144</v>
      </c>
      <c r="AR13" s="673"/>
      <c r="AS13" s="703" t="s">
        <v>195</v>
      </c>
      <c r="AT13" s="688"/>
      <c r="AU13" s="703" t="s">
        <v>194</v>
      </c>
      <c r="AV13" s="688"/>
      <c r="AW13" s="193"/>
      <c r="AX13" s="193"/>
      <c r="AY13" s="711"/>
      <c r="AZ13" s="688" t="s">
        <v>213</v>
      </c>
      <c r="BA13" s="688"/>
      <c r="BB13" s="688" t="s">
        <v>277</v>
      </c>
      <c r="BC13" s="688"/>
      <c r="BD13" s="688" t="s">
        <v>214</v>
      </c>
      <c r="BE13" s="711"/>
      <c r="BF13" s="193"/>
      <c r="BG13" s="712"/>
      <c r="BH13" s="714" t="s">
        <v>256</v>
      </c>
      <c r="BI13" s="714" t="s">
        <v>258</v>
      </c>
      <c r="BJ13" s="714" t="s">
        <v>259</v>
      </c>
      <c r="BK13" s="714" t="s">
        <v>260</v>
      </c>
      <c r="BL13" s="714" t="s">
        <v>261</v>
      </c>
      <c r="BM13" s="716" t="s">
        <v>263</v>
      </c>
      <c r="BN13" s="714"/>
      <c r="BO13" s="714" t="s">
        <v>297</v>
      </c>
      <c r="BP13" s="714"/>
      <c r="BQ13" s="712"/>
      <c r="BR13" s="712"/>
      <c r="BS13" s="193"/>
      <c r="BT13" s="193"/>
      <c r="BU13" s="193"/>
      <c r="BV13" s="193"/>
      <c r="BW13" s="193"/>
      <c r="BX13" s="14"/>
      <c r="BY13" s="34" t="s">
        <v>40</v>
      </c>
      <c r="BZ13" s="35">
        <f>IF($BZ$11&gt;=12,0,IF(AND($BZ$11&lt;=2,$BZ$9="j"),40,IF(AND($BZ$11&lt;=4,$BZ$9="j"),30,IF(AND($BZ$11&lt;=8,$BZ$9="j"),17,IF(AND($BZ$11&lt;=12,$BZ$9="j"),10,IF(AND($BZ$11&lt;=2,$BZ$9="x"),45,IF(AND($BZ$11&lt;=4,$BZ$9="x"),35,IF(AND($BZ$11&lt;=8,$BZ$9="x"),20,IF(AND($BZ$11&lt;=12,$BZ$9="x"),11,IF(AND($BZ$11&lt;=2,$BZ$9="f"),51,IF(AND($BZ$11&lt;=4,$BZ$9="f"),39,IF(AND($BZ$11&lt;=8,$BZ$9="f"),22,IF(AND($BZ$11&lt;=12,$BZ$9="f"),12,)))))))))))))</f>
        <v>22</v>
      </c>
      <c r="CA13" s="35">
        <f t="shared" si="0"/>
        <v>22</v>
      </c>
      <c r="CC13" s="34" t="s">
        <v>96</v>
      </c>
      <c r="CE13" s="41">
        <v>0.32</v>
      </c>
      <c r="CF13" s="571">
        <f t="shared" si="1"/>
        <v>0.32</v>
      </c>
      <c r="CG13"/>
      <c r="CH13" s="34"/>
      <c r="CI13" s="48"/>
      <c r="CJ13" s="48"/>
      <c r="CK13" s="34"/>
      <c r="CL13" s="7"/>
      <c r="CM13" s="7"/>
      <c r="CN13" s="7"/>
      <c r="CO13" s="7"/>
    </row>
    <row r="14" spans="1:93" ht="22.5" customHeight="1">
      <c r="A14" s="194"/>
      <c r="B14" s="812"/>
      <c r="C14" s="860" t="s">
        <v>303</v>
      </c>
      <c r="D14" s="862"/>
      <c r="E14" s="862"/>
      <c r="F14" s="862"/>
      <c r="G14" s="1891" t="s">
        <v>60</v>
      </c>
      <c r="H14" s="1892"/>
      <c r="I14" s="66"/>
      <c r="J14" s="795" t="e">
        <f>IF(G14="-","",VLOOKUP(G14,'Data source'!$B$4:$I$12,3,FALSE))</f>
        <v>#N/A</v>
      </c>
      <c r="L14" s="792"/>
      <c r="P14" s="813"/>
      <c r="Q14" s="194"/>
      <c r="R14" s="659"/>
      <c r="S14" s="659"/>
      <c r="T14" s="194"/>
      <c r="U14" s="194"/>
      <c r="V14" s="680" t="s">
        <v>164</v>
      </c>
      <c r="W14" s="678"/>
      <c r="X14" s="681"/>
      <c r="Y14" s="669"/>
      <c r="Z14" s="861" t="str">
        <f>IF($J$53="Yes",CI9,"")</f>
        <v/>
      </c>
      <c r="AA14" s="688" t="str">
        <f>IF($J$53="Yes",$CI$8,"")</f>
        <v/>
      </c>
      <c r="AB14" s="691" t="str">
        <f>IF($J$53="Yes",$AQ$10,"")</f>
        <v/>
      </c>
      <c r="AC14" s="679"/>
      <c r="AD14" s="679"/>
      <c r="AE14" s="861" t="str">
        <f>IF($J$53="Yes",$BZ$8,"")</f>
        <v/>
      </c>
      <c r="AF14" s="679"/>
      <c r="AG14" s="679"/>
      <c r="AH14" s="595" t="str">
        <f>IF($J$53="Yes","&gt;35","")</f>
        <v/>
      </c>
      <c r="AI14" s="687"/>
      <c r="AJ14" s="679"/>
      <c r="AK14" s="595" t="str">
        <f>IF($J$53="Yes","&lt;38","")</f>
        <v/>
      </c>
      <c r="AL14" s="687"/>
      <c r="AM14" s="679"/>
      <c r="AN14" s="692" t="str">
        <f>IF($J$53="Yes","&lt;30","")</f>
        <v/>
      </c>
      <c r="AO14" s="687"/>
      <c r="AP14" s="690"/>
      <c r="AQ14" s="692" t="str">
        <f>IF($J$53="Yes","&lt;6","")</f>
        <v/>
      </c>
      <c r="AR14" s="673"/>
      <c r="AS14" s="688"/>
      <c r="AT14" s="688"/>
      <c r="AU14" s="688"/>
      <c r="AV14" s="688"/>
      <c r="AW14" s="193"/>
      <c r="AX14" s="193"/>
      <c r="AY14" s="711"/>
      <c r="AZ14" s="649" t="s">
        <v>157</v>
      </c>
      <c r="BA14" s="711"/>
      <c r="BB14" s="649" t="s">
        <v>279</v>
      </c>
      <c r="BC14" s="711"/>
      <c r="BD14" s="649" t="s">
        <v>280</v>
      </c>
      <c r="BE14" s="711"/>
      <c r="BF14" s="193"/>
      <c r="BG14" s="712"/>
      <c r="BH14" s="658" t="s">
        <v>292</v>
      </c>
      <c r="BI14" s="657" t="s">
        <v>293</v>
      </c>
      <c r="BJ14" s="657" t="s">
        <v>295</v>
      </c>
      <c r="BK14" s="657" t="s">
        <v>294</v>
      </c>
      <c r="BL14" s="657" t="s">
        <v>351</v>
      </c>
      <c r="BM14" s="1888" t="s">
        <v>348</v>
      </c>
      <c r="BN14" s="1889"/>
      <c r="BO14" s="208" t="s">
        <v>298</v>
      </c>
      <c r="BP14" s="713" t="s">
        <v>299</v>
      </c>
      <c r="BQ14" s="712"/>
      <c r="BR14" s="712"/>
      <c r="BS14" s="193"/>
      <c r="BT14" s="193"/>
      <c r="BU14" s="193"/>
      <c r="BV14" s="193"/>
      <c r="BW14" s="193"/>
      <c r="BX14" s="14"/>
      <c r="BY14" s="34" t="s">
        <v>45</v>
      </c>
      <c r="BZ14" s="37">
        <f>IF(O8="-","",VLOOKUP($O$8,'Data source'!$B$209:$C$211,2,FALSE))</f>
        <v>2</v>
      </c>
      <c r="CA14" s="37">
        <f t="shared" si="0"/>
        <v>2</v>
      </c>
      <c r="CC14" s="34" t="s">
        <v>97</v>
      </c>
      <c r="CE14" s="41">
        <v>0.65</v>
      </c>
      <c r="CF14" s="571">
        <f t="shared" si="1"/>
        <v>0.65</v>
      </c>
      <c r="CG14"/>
      <c r="CH14"/>
      <c r="CI14" s="3"/>
      <c r="CJ14" s="3"/>
    </row>
    <row r="15" spans="1:93" ht="21" customHeight="1">
      <c r="A15" s="194"/>
      <c r="B15" s="812"/>
      <c r="C15" s="860" t="s">
        <v>305</v>
      </c>
      <c r="D15" s="862"/>
      <c r="G15" s="791"/>
      <c r="H15" s="26" t="s">
        <v>314</v>
      </c>
      <c r="I15" s="8"/>
      <c r="J15" s="8"/>
      <c r="K15" s="66"/>
      <c r="P15" s="813"/>
      <c r="Q15" s="194"/>
      <c r="R15" s="659"/>
      <c r="S15" s="659"/>
      <c r="T15" s="194"/>
      <c r="U15" s="194"/>
      <c r="V15" s="682"/>
      <c r="W15" s="678"/>
      <c r="X15" s="683"/>
      <c r="Y15" s="669"/>
      <c r="Z15" s="679"/>
      <c r="AA15" s="685"/>
      <c r="AB15" s="679"/>
      <c r="AC15" s="679"/>
      <c r="AD15" s="679"/>
      <c r="AE15" s="687"/>
      <c r="AF15" s="679"/>
      <c r="AG15" s="679"/>
      <c r="AH15" s="687"/>
      <c r="AI15" s="687"/>
      <c r="AJ15" s="679"/>
      <c r="AK15" s="687"/>
      <c r="AL15" s="687"/>
      <c r="AM15" s="679"/>
      <c r="AN15" s="687"/>
      <c r="AO15" s="687"/>
      <c r="AP15" s="690"/>
      <c r="AQ15" s="687"/>
      <c r="AR15" s="673"/>
      <c r="AS15" s="688"/>
      <c r="AT15" s="688"/>
      <c r="AU15" s="688"/>
      <c r="AV15" s="688"/>
      <c r="AW15" s="193"/>
      <c r="AX15" s="193"/>
      <c r="AY15" s="711"/>
      <c r="AZ15" s="711"/>
      <c r="BA15" s="711"/>
      <c r="BB15" s="711"/>
      <c r="BC15" s="711"/>
      <c r="BD15" s="711"/>
      <c r="BE15" s="711"/>
      <c r="BF15" s="193"/>
      <c r="BG15" s="712"/>
      <c r="BH15" s="712"/>
      <c r="BI15" s="712"/>
      <c r="BJ15" s="712"/>
      <c r="BK15" s="712"/>
      <c r="BL15" s="712"/>
      <c r="BM15" s="712"/>
      <c r="BN15" s="712"/>
      <c r="BO15" s="712"/>
      <c r="BP15" s="712"/>
      <c r="BQ15" s="712"/>
      <c r="BR15" s="712"/>
      <c r="BS15" s="193"/>
      <c r="BT15" s="193"/>
      <c r="BU15" s="193"/>
      <c r="BV15" s="193"/>
      <c r="BW15" s="193"/>
      <c r="BX15" s="14"/>
      <c r="BY15" s="14"/>
      <c r="BZ15" s="16"/>
      <c r="CA15" s="5"/>
      <c r="CB15" s="5"/>
      <c r="CC15" s="5"/>
      <c r="CD15" s="5"/>
      <c r="CE15" s="5"/>
      <c r="CF15" s="5"/>
      <c r="CG15" s="20"/>
      <c r="CH15" s="5"/>
      <c r="CI15" s="5"/>
      <c r="CJ15" s="20"/>
      <c r="CK15" s="5"/>
    </row>
    <row r="16" spans="1:93" ht="21.75" customHeight="1">
      <c r="A16" s="194"/>
      <c r="B16" s="812"/>
      <c r="C16" s="860" t="s">
        <v>307</v>
      </c>
      <c r="D16" s="862"/>
      <c r="E16" s="862"/>
      <c r="G16" s="791"/>
      <c r="H16" s="26" t="s">
        <v>314</v>
      </c>
      <c r="I16" s="8"/>
      <c r="J16" s="8"/>
      <c r="K16" s="8"/>
      <c r="P16" s="813"/>
      <c r="Q16" s="194"/>
      <c r="R16" s="659"/>
      <c r="S16" s="659"/>
      <c r="T16" s="194"/>
      <c r="U16" s="194"/>
      <c r="V16" s="680" t="s">
        <v>312</v>
      </c>
      <c r="W16" s="678"/>
      <c r="X16" s="686"/>
      <c r="Y16" s="684"/>
      <c r="Z16" s="649" t="str">
        <f>IF($J$53="Yes",$Y$49,"")</f>
        <v/>
      </c>
      <c r="AA16" s="688" t="str">
        <f>IF($J$53="Yes",$CI$8,"")</f>
        <v/>
      </c>
      <c r="AB16" s="693" t="str">
        <f>IF($J$53="Yes",$AB$49,"")</f>
        <v/>
      </c>
      <c r="AC16" s="694"/>
      <c r="AD16" s="694"/>
      <c r="AE16" s="693" t="str">
        <f>IF($J$53="Yes",$AE$49,"")</f>
        <v/>
      </c>
      <c r="AF16" s="694"/>
      <c r="AG16" s="694"/>
      <c r="AH16" s="693" t="str">
        <f>IF($J$53="Yes",$AH$49,"")</f>
        <v/>
      </c>
      <c r="AI16" s="689"/>
      <c r="AJ16" s="694"/>
      <c r="AK16" s="693" t="str">
        <f>IF($J$53="Yes",$AK$49,"")</f>
        <v/>
      </c>
      <c r="AL16" s="689"/>
      <c r="AM16" s="694"/>
      <c r="AN16" s="693" t="str">
        <f>IF($J$53="Yes",$AN$49,"")</f>
        <v/>
      </c>
      <c r="AO16" s="689"/>
      <c r="AP16" s="695"/>
      <c r="AQ16" s="693" t="str">
        <f>IF($J$53="Yes",$AQ$49,"")</f>
        <v/>
      </c>
      <c r="AR16" s="673"/>
      <c r="AS16" s="704" t="str">
        <f>IF($J$53="Yes",$AV$49,"")</f>
        <v/>
      </c>
      <c r="AT16" s="688"/>
      <c r="AU16" s="705" t="str">
        <f>IF($J$53="Yes",$AT$49,"")</f>
        <v/>
      </c>
      <c r="AV16" s="688"/>
      <c r="AW16" s="193"/>
      <c r="AX16" s="193"/>
      <c r="AY16" s="711"/>
      <c r="AZ16" s="693" t="str">
        <f>IF($J$53="Yes",$AZ$49,"")</f>
        <v/>
      </c>
      <c r="BA16" s="711"/>
      <c r="BB16" s="693" t="str">
        <f>IF($J$53="Yes",$BB$49,"")</f>
        <v/>
      </c>
      <c r="BC16" s="711"/>
      <c r="BD16" s="693" t="str">
        <f>IF($J$53="Yes",$BD$49,"")</f>
        <v/>
      </c>
      <c r="BE16" s="711"/>
      <c r="BF16" s="193"/>
      <c r="BG16" s="712"/>
      <c r="BH16" s="717" t="str">
        <f>BH49</f>
        <v/>
      </c>
      <c r="BI16" s="719" t="str">
        <f>BI49</f>
        <v/>
      </c>
      <c r="BJ16" s="719" t="str">
        <f>BJ49</f>
        <v/>
      </c>
      <c r="BK16" s="720" t="str">
        <f>BK49</f>
        <v/>
      </c>
      <c r="BL16" s="719" t="str">
        <f>BL49</f>
        <v/>
      </c>
      <c r="BM16" s="712"/>
      <c r="BN16" s="718" t="str">
        <f>BM49</f>
        <v/>
      </c>
      <c r="BO16" s="649" t="str">
        <f>IF($J$53="Yes",($BO$49*1000)/($Y$49*10),"")</f>
        <v/>
      </c>
      <c r="BP16" s="712"/>
      <c r="BQ16" s="712"/>
      <c r="BR16" s="712"/>
      <c r="BS16" s="193"/>
      <c r="BT16" s="193"/>
      <c r="BU16" s="193"/>
      <c r="BV16" s="193"/>
      <c r="BW16" s="193"/>
      <c r="BY16" s="34" t="s">
        <v>179</v>
      </c>
    </row>
    <row r="17" spans="1:89" ht="21" customHeight="1">
      <c r="A17" s="194"/>
      <c r="B17" s="812"/>
      <c r="C17" s="860" t="s">
        <v>304</v>
      </c>
      <c r="D17" s="862"/>
      <c r="E17" s="862"/>
      <c r="G17" s="792"/>
      <c r="H17" s="26" t="s">
        <v>306</v>
      </c>
      <c r="K17" s="8"/>
      <c r="P17" s="813"/>
      <c r="Q17" s="194"/>
      <c r="R17" s="659"/>
      <c r="S17" s="659"/>
      <c r="T17" s="194"/>
      <c r="U17" s="194"/>
      <c r="V17" s="682"/>
      <c r="W17" s="678"/>
      <c r="X17" s="683"/>
      <c r="Y17" s="685" t="s">
        <v>216</v>
      </c>
      <c r="Z17" s="696" t="str">
        <f>IF($J$53="Yes",$Z$16-$Z$14,"")</f>
        <v/>
      </c>
      <c r="AA17" s="685"/>
      <c r="AB17" s="697" t="str">
        <f>IF($J$53="Yes",$AB$16-$AB$14,"")</f>
        <v/>
      </c>
      <c r="AC17" s="679"/>
      <c r="AD17" s="679"/>
      <c r="AE17" s="670"/>
      <c r="AF17" s="679"/>
      <c r="AG17" s="679"/>
      <c r="AH17" s="690"/>
      <c r="AI17" s="690"/>
      <c r="AJ17" s="679"/>
      <c r="AK17" s="679"/>
      <c r="AL17" s="679"/>
      <c r="AM17" s="679"/>
      <c r="AN17" s="679"/>
      <c r="AO17" s="679"/>
      <c r="AP17" s="690"/>
      <c r="AQ17" s="679"/>
      <c r="AR17" s="673"/>
      <c r="AS17" s="688"/>
      <c r="AT17" s="688"/>
      <c r="AU17" s="688"/>
      <c r="AV17" s="688"/>
      <c r="AW17" s="193"/>
      <c r="AX17" s="193"/>
      <c r="AY17" s="711"/>
      <c r="AZ17" s="711"/>
      <c r="BA17" s="711"/>
      <c r="BB17" s="711"/>
      <c r="BC17" s="711"/>
      <c r="BD17" s="711"/>
      <c r="BE17" s="711"/>
      <c r="BF17" s="193"/>
      <c r="BG17" s="712"/>
      <c r="BH17" s="712"/>
      <c r="BI17" s="712"/>
      <c r="BJ17" s="712"/>
      <c r="BK17" s="712"/>
      <c r="BL17" s="712"/>
      <c r="BM17" s="712"/>
      <c r="BN17" s="712"/>
      <c r="BO17" s="712"/>
      <c r="BP17" s="712"/>
      <c r="BQ17" s="712"/>
      <c r="BR17" s="712"/>
      <c r="BS17" s="193"/>
      <c r="BT17" s="193"/>
      <c r="BU17" s="193"/>
      <c r="BV17" s="193"/>
      <c r="BW17" s="193"/>
      <c r="BY17" s="34" t="s">
        <v>180</v>
      </c>
    </row>
    <row r="18" spans="1:89" s="29" customFormat="1" ht="24" customHeight="1">
      <c r="A18" s="194"/>
      <c r="B18" s="814"/>
      <c r="C18" s="778"/>
      <c r="H18" s="793"/>
      <c r="J18" s="699" t="s">
        <v>311</v>
      </c>
      <c r="K18" s="8"/>
      <c r="N18" s="8"/>
      <c r="O18" s="8"/>
      <c r="P18" s="813"/>
      <c r="Q18" s="194"/>
      <c r="R18" s="659"/>
      <c r="S18" s="659"/>
      <c r="T18" s="194"/>
      <c r="U18" s="215"/>
      <c r="V18" s="686" t="s">
        <v>313</v>
      </c>
      <c r="W18" s="686"/>
      <c r="X18" s="686"/>
      <c r="Y18" s="686"/>
      <c r="Z18" s="649" t="str">
        <f>IF($J$54="Yes",$Y$50,"")</f>
        <v/>
      </c>
      <c r="AA18" s="688" t="str">
        <f>IF(OR($J$53="No",L28&lt;=0),"",$CI$8)</f>
        <v/>
      </c>
      <c r="AB18" s="693" t="str">
        <f>IF($J$54="Yes",$AB$50,"")</f>
        <v/>
      </c>
      <c r="AC18" s="686"/>
      <c r="AD18" s="686"/>
      <c r="AE18" s="693" t="str">
        <f>IF($J$54="Yes",$AE$50,"")</f>
        <v/>
      </c>
      <c r="AF18" s="686"/>
      <c r="AG18" s="686"/>
      <c r="AH18" s="693" t="str">
        <f>IF($J$54="Yes",$AH$50,"")</f>
        <v/>
      </c>
      <c r="AI18" s="686"/>
      <c r="AJ18" s="686"/>
      <c r="AK18" s="693" t="str">
        <f>IF($J$54="Yes",$AK$50,"")</f>
        <v/>
      </c>
      <c r="AL18" s="686"/>
      <c r="AM18" s="686"/>
      <c r="AN18" s="693" t="str">
        <f>IF($J$54="Yes",$AN$50,"")</f>
        <v/>
      </c>
      <c r="AO18" s="686"/>
      <c r="AP18" s="686"/>
      <c r="AQ18" s="693" t="str">
        <f>IF($J$54="Yes",$AQ$50,"")</f>
        <v/>
      </c>
      <c r="AR18" s="686"/>
      <c r="AS18" s="704" t="str">
        <f>IF($J$54="Yes",$AV$50,"")</f>
        <v/>
      </c>
      <c r="AT18" s="688"/>
      <c r="AU18" s="705" t="str">
        <f>IF($J$54="Yes",$AT$50,"")</f>
        <v/>
      </c>
      <c r="AV18" s="688"/>
      <c r="AW18" s="193"/>
      <c r="AX18" s="327"/>
      <c r="AY18" s="711"/>
      <c r="AZ18" s="693" t="str">
        <f>IF($J$54="Yes",$AZ$50,"")</f>
        <v/>
      </c>
      <c r="BA18" s="711"/>
      <c r="BB18" s="693" t="str">
        <f>IF($J$54="Yes",$BB$50,"")</f>
        <v/>
      </c>
      <c r="BC18" s="711"/>
      <c r="BD18" s="693">
        <f>IF($J$54="Yes",$BD$50,0)</f>
        <v>0</v>
      </c>
      <c r="BE18" s="711"/>
      <c r="BF18" s="193"/>
      <c r="BG18" s="712"/>
      <c r="BH18" s="721" t="str">
        <f>BH50</f>
        <v/>
      </c>
      <c r="BI18" s="721" t="str">
        <f>BI50</f>
        <v/>
      </c>
      <c r="BJ18" s="721" t="str">
        <f>BJ50</f>
        <v/>
      </c>
      <c r="BK18" s="721" t="str">
        <f>BK50</f>
        <v/>
      </c>
      <c r="BL18" s="721" t="str">
        <f>BL50</f>
        <v/>
      </c>
      <c r="BM18" s="712"/>
      <c r="BN18" s="721" t="str">
        <f>BM50</f>
        <v/>
      </c>
      <c r="BO18" s="649" t="e">
        <f>IF(AND($J$54="No",$AA$6="NO"),0,($BO$50*1000)/($Y$50*10))</f>
        <v>#VALUE!</v>
      </c>
      <c r="BP18" s="712"/>
      <c r="BQ18" s="712"/>
      <c r="BR18" s="712"/>
      <c r="BS18" s="327"/>
      <c r="BT18" s="327"/>
      <c r="BU18" s="327"/>
      <c r="BV18" s="327"/>
      <c r="BW18" s="327"/>
      <c r="CG18" s="28"/>
      <c r="CH18" s="28"/>
    </row>
    <row r="19" spans="1:89" s="4" customFormat="1" ht="22.5" customHeight="1">
      <c r="A19" s="194"/>
      <c r="B19" s="812"/>
      <c r="C19" s="860" t="s">
        <v>315</v>
      </c>
      <c r="D19" s="862"/>
      <c r="E19" s="862"/>
      <c r="G19" s="794" t="str">
        <f>IF(OR(G15="",G16="",G17="",O6=""),"",((G15-G16)*G17)/O6)</f>
        <v/>
      </c>
      <c r="H19" s="860" t="s">
        <v>185</v>
      </c>
      <c r="I19" s="8"/>
      <c r="J19" s="792">
        <v>12</v>
      </c>
      <c r="K19" s="860" t="s">
        <v>185</v>
      </c>
      <c r="N19" s="129"/>
      <c r="O19" s="8"/>
      <c r="P19" s="813"/>
      <c r="Q19" s="194"/>
      <c r="R19" s="659"/>
      <c r="S19" s="659"/>
      <c r="T19" s="194"/>
      <c r="U19" s="215"/>
      <c r="V19" s="686"/>
      <c r="W19" s="686"/>
      <c r="X19" s="686"/>
      <c r="Y19" s="688" t="s">
        <v>216</v>
      </c>
      <c r="Z19" s="847" t="str">
        <f>IF($J$54="Yes",$Z$18-$Z$14,"")</f>
        <v/>
      </c>
      <c r="AA19" s="848"/>
      <c r="AB19" s="849" t="str">
        <f>IF($J$54="Yes",$AB$18-$AB$14,"")</f>
        <v/>
      </c>
      <c r="AC19" s="848"/>
      <c r="AD19" s="686"/>
      <c r="AE19" s="686"/>
      <c r="AF19" s="686"/>
      <c r="AG19" s="686"/>
      <c r="AH19" s="686"/>
      <c r="AI19" s="686"/>
      <c r="AJ19" s="686"/>
      <c r="AK19" s="686"/>
      <c r="AL19" s="686"/>
      <c r="AM19" s="686"/>
      <c r="AN19" s="686"/>
      <c r="AO19" s="686"/>
      <c r="AP19" s="686"/>
      <c r="AQ19" s="686"/>
      <c r="AR19" s="686"/>
      <c r="AS19" s="688"/>
      <c r="AT19" s="688"/>
      <c r="AU19" s="688"/>
      <c r="AV19" s="688"/>
      <c r="AW19" s="193"/>
      <c r="AX19" s="317"/>
      <c r="AY19" s="711"/>
      <c r="AZ19" s="711"/>
      <c r="BA19" s="711"/>
      <c r="BB19" s="711"/>
      <c r="BC19" s="711"/>
      <c r="BD19" s="711"/>
      <c r="BE19" s="711"/>
      <c r="BF19" s="193"/>
      <c r="BG19" s="712"/>
      <c r="BH19" s="712"/>
      <c r="BI19" s="712"/>
      <c r="BJ19" s="712"/>
      <c r="BK19" s="712"/>
      <c r="BL19" s="712"/>
      <c r="BM19" s="712"/>
      <c r="BN19" s="712"/>
      <c r="BO19" s="712"/>
      <c r="BP19" s="712"/>
      <c r="BQ19" s="712"/>
      <c r="BR19" s="712"/>
      <c r="BS19" s="317"/>
      <c r="BT19" s="317"/>
      <c r="BU19" s="317"/>
      <c r="BV19" s="317"/>
      <c r="BW19" s="317"/>
      <c r="CG19" s="17"/>
      <c r="CH19" s="17"/>
    </row>
    <row r="20" spans="1:89" s="4" customFormat="1" ht="12" customHeight="1">
      <c r="A20" s="194"/>
      <c r="B20" s="815"/>
      <c r="C20" s="816"/>
      <c r="D20" s="816"/>
      <c r="E20" s="816"/>
      <c r="F20" s="816"/>
      <c r="G20" s="817"/>
      <c r="H20" s="817"/>
      <c r="I20" s="817"/>
      <c r="J20" s="817"/>
      <c r="K20" s="817"/>
      <c r="L20" s="817"/>
      <c r="M20" s="817"/>
      <c r="N20" s="817"/>
      <c r="O20" s="804"/>
      <c r="P20" s="818"/>
      <c r="Q20" s="194"/>
      <c r="R20" s="659"/>
      <c r="S20" s="659"/>
      <c r="T20" s="194"/>
      <c r="U20" s="215"/>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8"/>
      <c r="AT20" s="688"/>
      <c r="AU20" s="688"/>
      <c r="AV20" s="688"/>
      <c r="AW20" s="193"/>
      <c r="AX20" s="317"/>
      <c r="AY20" s="711"/>
      <c r="AZ20" s="711"/>
      <c r="BA20" s="711"/>
      <c r="BB20" s="711"/>
      <c r="BC20" s="711"/>
      <c r="BD20" s="711"/>
      <c r="BE20" s="711"/>
      <c r="BF20" s="193"/>
      <c r="BG20" s="712"/>
      <c r="BH20" s="712"/>
      <c r="BI20" s="712"/>
      <c r="BJ20" s="712"/>
      <c r="BK20" s="712"/>
      <c r="BL20" s="712"/>
      <c r="BM20" s="712"/>
      <c r="BN20" s="712"/>
      <c r="BO20" s="712"/>
      <c r="BP20" s="712"/>
      <c r="BQ20" s="712"/>
      <c r="BR20" s="712"/>
      <c r="BS20" s="317"/>
      <c r="BT20" s="317"/>
      <c r="BU20" s="317"/>
      <c r="BV20" s="317"/>
      <c r="BW20" s="317"/>
      <c r="CG20" s="17"/>
      <c r="CH20" s="17"/>
    </row>
    <row r="21" spans="1:89" s="4" customFormat="1" ht="12.75" customHeight="1">
      <c r="A21" s="194"/>
      <c r="B21" s="213"/>
      <c r="C21" s="213"/>
      <c r="D21" s="213"/>
      <c r="E21" s="213"/>
      <c r="F21" s="213"/>
      <c r="G21" s="213"/>
      <c r="H21" s="213"/>
      <c r="I21" s="213"/>
      <c r="J21" s="213"/>
      <c r="K21" s="213"/>
      <c r="L21" s="213"/>
      <c r="M21" s="213"/>
      <c r="N21" s="213"/>
      <c r="O21" s="213"/>
      <c r="P21" s="213"/>
      <c r="Q21" s="194"/>
      <c r="R21" s="659" t="e">
        <f>IF(L14&gt;0,L14,J14)</f>
        <v>#N/A</v>
      </c>
      <c r="S21" s="659"/>
      <c r="T21" s="194"/>
      <c r="U21" s="215"/>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32"/>
      <c r="CG21" s="17"/>
      <c r="CH21" s="17"/>
    </row>
    <row r="22" spans="1:89" ht="9.75" customHeight="1">
      <c r="A22" s="194"/>
      <c r="B22" s="193"/>
      <c r="C22" s="193"/>
      <c r="D22" s="193"/>
      <c r="E22" s="193"/>
      <c r="F22" s="193"/>
      <c r="G22" s="215"/>
      <c r="H22" s="215"/>
      <c r="I22" s="194"/>
      <c r="J22" s="215"/>
      <c r="K22" s="194"/>
      <c r="L22" s="194"/>
      <c r="M22" s="194"/>
      <c r="N22" s="194"/>
      <c r="O22" s="194"/>
      <c r="P22" s="194"/>
      <c r="Q22" s="194"/>
      <c r="R22" s="659"/>
      <c r="S22" s="659"/>
      <c r="T22" s="194"/>
      <c r="U22" s="194"/>
      <c r="V22" s="194"/>
      <c r="W22" s="194"/>
      <c r="X22" s="193"/>
      <c r="Y22" s="193"/>
      <c r="Z22" s="193"/>
      <c r="AA22" s="351"/>
      <c r="AB22" s="193"/>
      <c r="AC22" s="213"/>
      <c r="AD22" s="193"/>
      <c r="AE22" s="368"/>
      <c r="AF22" s="193"/>
      <c r="AG22" s="193"/>
      <c r="AH22" s="194"/>
      <c r="AI22" s="194"/>
      <c r="AJ22" s="193"/>
      <c r="AK22" s="193"/>
      <c r="AL22" s="193"/>
      <c r="AM22" s="193"/>
      <c r="AN22" s="193"/>
      <c r="AO22" s="193"/>
      <c r="AP22" s="194"/>
      <c r="AQ22" s="193"/>
      <c r="AR22" s="213"/>
      <c r="AS22" s="194"/>
      <c r="AT22" s="194"/>
      <c r="AU22" s="194"/>
      <c r="AV22" s="194"/>
      <c r="AW22" s="194"/>
      <c r="AX22" s="194"/>
      <c r="AY22" s="194"/>
      <c r="AZ22" s="194"/>
      <c r="BA22" s="194"/>
      <c r="BB22" s="194"/>
      <c r="BC22" s="194"/>
      <c r="BD22" s="194"/>
      <c r="BE22" s="194"/>
      <c r="BF22" s="194"/>
      <c r="BG22" s="194"/>
      <c r="BH22" s="194"/>
      <c r="BI22" s="213"/>
      <c r="BJ22" s="213"/>
      <c r="BK22" s="213"/>
      <c r="BL22" s="213"/>
      <c r="BM22" s="213"/>
      <c r="BN22" s="213"/>
      <c r="BO22" s="213"/>
      <c r="BP22" s="213"/>
      <c r="BQ22" s="213"/>
      <c r="BR22" s="213"/>
      <c r="BS22" s="213"/>
      <c r="BT22" s="193"/>
      <c r="BU22" s="193"/>
      <c r="BV22" s="193"/>
      <c r="BW22" s="193"/>
    </row>
    <row r="23" spans="1:89" s="53" customFormat="1" ht="21.75" customHeight="1">
      <c r="A23" s="194"/>
      <c r="B23" s="1871" t="s">
        <v>149</v>
      </c>
      <c r="C23" s="1872"/>
      <c r="D23" s="1872"/>
      <c r="E23" s="1872"/>
      <c r="F23" s="1872"/>
      <c r="G23" s="831"/>
      <c r="H23" s="831"/>
      <c r="I23" s="831"/>
      <c r="J23" s="832" t="s">
        <v>310</v>
      </c>
      <c r="K23" s="831"/>
      <c r="L23" s="832" t="s">
        <v>310</v>
      </c>
      <c r="M23" s="831"/>
      <c r="N23" s="831"/>
      <c r="O23" s="831"/>
      <c r="P23" s="782"/>
      <c r="Q23" s="194"/>
      <c r="R23" s="659"/>
      <c r="S23" s="659"/>
      <c r="T23" s="194"/>
      <c r="U23" s="194"/>
      <c r="V23" s="194"/>
      <c r="W23" s="194"/>
      <c r="X23" s="398"/>
      <c r="Y23" s="399"/>
      <c r="Z23" s="397" t="s">
        <v>196</v>
      </c>
      <c r="AA23" s="527"/>
      <c r="AB23" s="399"/>
      <c r="AC23" s="213"/>
      <c r="AD23" s="399"/>
      <c r="AE23" s="399"/>
      <c r="AF23" s="399"/>
      <c r="AG23" s="399"/>
      <c r="AH23" s="400"/>
      <c r="AI23" s="400"/>
      <c r="AJ23" s="397" t="s">
        <v>197</v>
      </c>
      <c r="AK23" s="399"/>
      <c r="AL23" s="399"/>
      <c r="AM23" s="399"/>
      <c r="AN23" s="399"/>
      <c r="AO23" s="399"/>
      <c r="AP23" s="400"/>
      <c r="AQ23" s="399"/>
      <c r="AR23" s="213"/>
      <c r="AS23" s="1890" t="s">
        <v>117</v>
      </c>
      <c r="AT23" s="1890"/>
      <c r="AU23" s="1890"/>
      <c r="AV23" s="1890"/>
      <c r="AW23" s="193"/>
      <c r="AX23" s="193"/>
      <c r="AY23" s="1890" t="s">
        <v>211</v>
      </c>
      <c r="AZ23" s="1890"/>
      <c r="BA23" s="1890"/>
      <c r="BB23" s="1890"/>
      <c r="BC23" s="1890"/>
      <c r="BD23" s="1890"/>
      <c r="BE23" s="1890"/>
      <c r="BF23" s="193"/>
      <c r="BG23" s="193"/>
      <c r="BH23" s="1890" t="s">
        <v>350</v>
      </c>
      <c r="BI23" s="1890"/>
      <c r="BJ23" s="1890"/>
      <c r="BK23" s="1890"/>
      <c r="BL23" s="1890"/>
      <c r="BM23" s="1890"/>
      <c r="BN23" s="1890"/>
      <c r="BO23" s="1890"/>
      <c r="BP23" s="213"/>
      <c r="BQ23" s="213"/>
      <c r="BR23" s="213"/>
      <c r="BS23" s="213"/>
      <c r="BT23" s="193"/>
      <c r="BU23" s="193"/>
      <c r="BV23" s="317"/>
      <c r="BW23" s="317"/>
      <c r="CG23" s="32"/>
      <c r="CH23" s="32"/>
    </row>
    <row r="24" spans="1:89" s="7" customFormat="1" ht="18.75" customHeight="1">
      <c r="A24" s="194"/>
      <c r="B24" s="833"/>
      <c r="G24" s="592"/>
      <c r="H24" s="592"/>
      <c r="I24" s="8"/>
      <c r="J24" s="773" t="s">
        <v>201</v>
      </c>
      <c r="K24" s="700"/>
      <c r="L24" s="773" t="s">
        <v>202</v>
      </c>
      <c r="M24" s="700"/>
      <c r="N24" s="32"/>
      <c r="O24" s="594" t="s">
        <v>269</v>
      </c>
      <c r="P24" s="834"/>
      <c r="Q24" s="194"/>
      <c r="R24" s="659"/>
      <c r="S24" s="659"/>
      <c r="T24" s="194"/>
      <c r="U24" s="194"/>
      <c r="V24" s="194"/>
      <c r="W24" s="194"/>
      <c r="X24" s="317"/>
      <c r="Y24" s="317"/>
      <c r="Z24" s="317"/>
      <c r="AA24" s="317"/>
      <c r="AB24" s="333" t="s">
        <v>1</v>
      </c>
      <c r="AC24" s="317"/>
      <c r="AD24" s="1887" t="s">
        <v>116</v>
      </c>
      <c r="AE24" s="1887"/>
      <c r="AF24" s="317"/>
      <c r="AG24" s="1887" t="s">
        <v>12</v>
      </c>
      <c r="AH24" s="1887"/>
      <c r="AI24" s="213"/>
      <c r="AJ24" s="1887" t="s">
        <v>13</v>
      </c>
      <c r="AK24" s="1887"/>
      <c r="AL24" s="317"/>
      <c r="AM24" s="1887" t="s">
        <v>118</v>
      </c>
      <c r="AN24" s="1887"/>
      <c r="AO24" s="317"/>
      <c r="AP24" s="1887" t="s">
        <v>119</v>
      </c>
      <c r="AQ24" s="1887"/>
      <c r="AR24" s="213"/>
      <c r="AS24" s="349" t="s">
        <v>170</v>
      </c>
      <c r="AT24" s="349" t="s">
        <v>2</v>
      </c>
      <c r="AU24" s="349" t="s">
        <v>2</v>
      </c>
      <c r="AV24" s="349" t="s">
        <v>167</v>
      </c>
      <c r="AW24" s="193"/>
      <c r="AX24" s="330"/>
      <c r="AY24" s="349"/>
      <c r="AZ24" s="349" t="s">
        <v>213</v>
      </c>
      <c r="BA24" s="349"/>
      <c r="BB24" s="349" t="s">
        <v>277</v>
      </c>
      <c r="BC24" s="349"/>
      <c r="BD24" s="349" t="s">
        <v>214</v>
      </c>
      <c r="BE24" s="317"/>
      <c r="BF24" s="193"/>
      <c r="BG24" s="193"/>
      <c r="BH24" s="349" t="s">
        <v>256</v>
      </c>
      <c r="BI24" s="349" t="s">
        <v>258</v>
      </c>
      <c r="BJ24" s="349" t="s">
        <v>259</v>
      </c>
      <c r="BK24" s="349" t="s">
        <v>260</v>
      </c>
      <c r="BL24" s="349" t="s">
        <v>261</v>
      </c>
      <c r="BM24" s="349" t="s">
        <v>262</v>
      </c>
      <c r="BN24" s="349" t="s">
        <v>263</v>
      </c>
      <c r="BO24" s="349" t="s">
        <v>264</v>
      </c>
      <c r="BP24" s="333"/>
      <c r="BQ24" s="213"/>
      <c r="BR24" s="213"/>
      <c r="BS24" s="213"/>
      <c r="BT24" s="317"/>
      <c r="BU24" s="317"/>
      <c r="BV24" s="193"/>
      <c r="BW24" s="193"/>
      <c r="CG24" s="8"/>
      <c r="CH24" s="8"/>
    </row>
    <row r="25" spans="1:89" s="7" customFormat="1" ht="18.75" customHeight="1">
      <c r="A25" s="194"/>
      <c r="B25" s="835"/>
      <c r="C25" s="852" t="s">
        <v>339</v>
      </c>
      <c r="D25" s="852"/>
      <c r="E25" s="852" t="s">
        <v>182</v>
      </c>
      <c r="F25" s="852"/>
      <c r="G25" s="1882" t="s">
        <v>146</v>
      </c>
      <c r="H25" s="1882"/>
      <c r="I25" s="601"/>
      <c r="J25" s="852" t="s">
        <v>309</v>
      </c>
      <c r="K25" s="700"/>
      <c r="L25" s="702" t="s">
        <v>254</v>
      </c>
      <c r="M25" s="861"/>
      <c r="N25" s="27"/>
      <c r="O25" s="701" t="s">
        <v>268</v>
      </c>
      <c r="P25" s="834"/>
      <c r="Q25" s="194"/>
      <c r="R25" s="659"/>
      <c r="S25" s="659"/>
      <c r="T25" s="194"/>
      <c r="U25" s="194"/>
      <c r="V25" s="194"/>
      <c r="W25" s="194"/>
      <c r="X25" s="333" t="s">
        <v>140</v>
      </c>
      <c r="Y25" s="333" t="s">
        <v>2</v>
      </c>
      <c r="Z25" s="331" t="s">
        <v>1</v>
      </c>
      <c r="AA25" s="331" t="s">
        <v>58</v>
      </c>
      <c r="AB25" s="331" t="s">
        <v>141</v>
      </c>
      <c r="AC25" s="317"/>
      <c r="AD25" s="331" t="s">
        <v>11</v>
      </c>
      <c r="AE25" s="274" t="s">
        <v>90</v>
      </c>
      <c r="AF25" s="317"/>
      <c r="AG25" s="331" t="s">
        <v>11</v>
      </c>
      <c r="AH25" s="274" t="s">
        <v>90</v>
      </c>
      <c r="AI25" s="213"/>
      <c r="AJ25" s="331" t="s">
        <v>11</v>
      </c>
      <c r="AK25" s="274" t="s">
        <v>90</v>
      </c>
      <c r="AL25" s="317"/>
      <c r="AM25" s="331" t="s">
        <v>145</v>
      </c>
      <c r="AN25" s="274" t="s">
        <v>90</v>
      </c>
      <c r="AO25" s="317"/>
      <c r="AP25" s="331" t="s">
        <v>11</v>
      </c>
      <c r="AQ25" s="274" t="s">
        <v>90</v>
      </c>
      <c r="AR25" s="213"/>
      <c r="AS25" s="349" t="s">
        <v>169</v>
      </c>
      <c r="AT25" s="349" t="s">
        <v>59</v>
      </c>
      <c r="AU25" s="349" t="s">
        <v>57</v>
      </c>
      <c r="AV25" s="349" t="s">
        <v>112</v>
      </c>
      <c r="AW25" s="193"/>
      <c r="AX25" s="333"/>
      <c r="AY25" s="349"/>
      <c r="AZ25" s="349" t="s">
        <v>11</v>
      </c>
      <c r="BA25" s="349"/>
      <c r="BB25" s="349" t="s">
        <v>11</v>
      </c>
      <c r="BC25" s="349"/>
      <c r="BD25" s="349" t="s">
        <v>11</v>
      </c>
      <c r="BE25" s="317"/>
      <c r="BF25" s="317"/>
      <c r="BG25" s="317"/>
      <c r="BH25" s="349" t="s">
        <v>257</v>
      </c>
      <c r="BI25" s="349" t="s">
        <v>257</v>
      </c>
      <c r="BJ25" s="349" t="s">
        <v>257</v>
      </c>
      <c r="BK25" s="349" t="s">
        <v>257</v>
      </c>
      <c r="BL25" s="349" t="s">
        <v>257</v>
      </c>
      <c r="BM25" s="349" t="s">
        <v>257</v>
      </c>
      <c r="BN25" s="349" t="s">
        <v>257</v>
      </c>
      <c r="BO25" s="846" t="s">
        <v>265</v>
      </c>
      <c r="BP25" s="333"/>
      <c r="BQ25" s="213"/>
      <c r="BR25" s="213"/>
      <c r="BS25" s="213"/>
      <c r="BT25" s="317"/>
      <c r="BU25" s="317"/>
      <c r="BV25" s="193"/>
      <c r="BW25" s="193"/>
      <c r="BZ25" s="48" t="s">
        <v>213</v>
      </c>
      <c r="CA25" s="7" t="s">
        <v>281</v>
      </c>
      <c r="CB25" s="7" t="s">
        <v>214</v>
      </c>
      <c r="CG25" s="8"/>
      <c r="CH25" s="8"/>
    </row>
    <row r="26" spans="1:89" s="7" customFormat="1" ht="19.5" customHeight="1">
      <c r="A26" s="194"/>
      <c r="B26" s="836"/>
      <c r="C26" s="775"/>
      <c r="D26" s="30"/>
      <c r="E26" s="30"/>
      <c r="F26" s="30"/>
      <c r="G26" s="30"/>
      <c r="H26" s="30"/>
      <c r="I26" s="30"/>
      <c r="J26" s="30"/>
      <c r="K26" s="30"/>
      <c r="L26" s="30"/>
      <c r="M26" s="30"/>
      <c r="N26" s="51"/>
      <c r="O26" s="51"/>
      <c r="P26" s="834"/>
      <c r="Q26" s="194"/>
      <c r="R26" s="659"/>
      <c r="S26" s="659"/>
      <c r="T26" s="194"/>
      <c r="U26" s="194"/>
      <c r="V26" s="654"/>
      <c r="W26" s="194"/>
      <c r="X26" s="333"/>
      <c r="Y26" s="333"/>
      <c r="Z26" s="331"/>
      <c r="AA26" s="331"/>
      <c r="AB26" s="331"/>
      <c r="AC26" s="317"/>
      <c r="AD26" s="331"/>
      <c r="AE26" s="274"/>
      <c r="AF26" s="317"/>
      <c r="AG26" s="331"/>
      <c r="AH26" s="274"/>
      <c r="AI26" s="213"/>
      <c r="AJ26" s="331"/>
      <c r="AK26" s="274"/>
      <c r="AL26" s="317"/>
      <c r="AM26" s="331"/>
      <c r="AN26" s="274"/>
      <c r="AO26" s="317"/>
      <c r="AP26" s="331"/>
      <c r="AQ26" s="274"/>
      <c r="AR26" s="213"/>
      <c r="AS26" s="349"/>
      <c r="AT26" s="349"/>
      <c r="AU26" s="349"/>
      <c r="AV26" s="349"/>
      <c r="AW26" s="193"/>
      <c r="AX26" s="333"/>
      <c r="AY26" s="349"/>
      <c r="AZ26" s="349"/>
      <c r="BA26" s="349"/>
      <c r="BB26" s="349"/>
      <c r="BC26" s="349"/>
      <c r="BD26" s="349"/>
      <c r="BE26" s="317"/>
      <c r="BF26" s="317"/>
      <c r="BG26" s="317"/>
      <c r="BH26" s="349"/>
      <c r="BI26" s="349"/>
      <c r="BJ26" s="349"/>
      <c r="BK26" s="349"/>
      <c r="BL26" s="349"/>
      <c r="BM26" s="349"/>
      <c r="BN26" s="349"/>
      <c r="BO26" s="349"/>
      <c r="BP26" s="333"/>
      <c r="BQ26" s="213"/>
      <c r="BR26" s="213"/>
      <c r="BS26" s="213"/>
      <c r="BT26" s="317"/>
      <c r="BU26" s="317"/>
      <c r="BV26" s="193"/>
      <c r="BW26" s="193"/>
      <c r="BZ26" s="48"/>
      <c r="CG26" s="8"/>
      <c r="CH26" s="8"/>
    </row>
    <row r="27" spans="1:89" s="7" customFormat="1" ht="19.5" customHeight="1">
      <c r="A27" s="194"/>
      <c r="B27" s="1893"/>
      <c r="C27" s="1894" t="s">
        <v>108</v>
      </c>
      <c r="D27" s="599"/>
      <c r="E27" s="1896" t="str">
        <f>$G$14</f>
        <v>Pasture autumn and winter</v>
      </c>
      <c r="F27" s="599"/>
      <c r="G27" s="1898" t="s">
        <v>156</v>
      </c>
      <c r="H27" s="1899"/>
      <c r="I27" s="66"/>
      <c r="J27" s="877">
        <f>IF(J19="",G19,J19)</f>
        <v>12</v>
      </c>
      <c r="K27" s="779"/>
      <c r="L27" s="779"/>
      <c r="M27" s="780"/>
      <c r="N27" s="781"/>
      <c r="O27" s="842"/>
      <c r="P27" s="834"/>
      <c r="Q27" s="194"/>
      <c r="R27" s="659" t="str">
        <f>IF(OR($C27="-",$G27="-",$J27&lt;=0,$J$53="No"),"",$J27)</f>
        <v/>
      </c>
      <c r="S27" s="659">
        <f>IF(OR($C27="-",$G27="-",$J$53="No"),0,1)</f>
        <v>0</v>
      </c>
      <c r="T27" s="194"/>
      <c r="U27" s="194"/>
      <c r="V27" s="655" t="str">
        <f>E27</f>
        <v>Pasture autumn and winter</v>
      </c>
      <c r="W27" s="733" t="s">
        <v>317</v>
      </c>
      <c r="X27" s="232" t="str">
        <f>IF(OR($E27="-",$G27="-",$J27="",$J$53="No"),"",VLOOKUP($G27,'Data source'!$B$122:$C$124,2,FALSE))</f>
        <v/>
      </c>
      <c r="Y27" s="211" t="str">
        <f>IF(OR($E27="-",$G27="-",$J27="",$J$53="No"),"",J27*X27)</f>
        <v/>
      </c>
      <c r="Z27" s="573" t="str">
        <f>IF(OR($E27="-",$G27="-",$J27="",$J$53="No"),"",$R$21)</f>
        <v/>
      </c>
      <c r="AA27" s="224" t="str">
        <f>IF(OR($E27="-",$G27="-",$J27="",$J$53="No"),"",VLOOKUP($E27,'Data source'!$B$4:$I$12,2,FALSE))</f>
        <v/>
      </c>
      <c r="AB27" s="233" t="str">
        <f>IF(OR($E27="-",$G27="-",$J27="",$J$53="No"),"",Y27*Z27)</f>
        <v/>
      </c>
      <c r="AC27" s="317"/>
      <c r="AD27" s="234" t="str">
        <f>IF(OR($E27="-",$G27="-",$J27="",$J$53="No"),"",VLOOKUP($E27,'Data source'!$B$4:$I$12,4,FALSE))</f>
        <v/>
      </c>
      <c r="AE27" s="235" t="str">
        <f>IF(OR($E27="-",$G27="-",$J27="",$J$53="No"),"",(($Y27/$Y$49)*AD27))</f>
        <v/>
      </c>
      <c r="AF27" s="94"/>
      <c r="AG27" s="234" t="str">
        <f>IF(OR($E27="-",$G27="-",$J27="",$J$53="No"),"",VLOOKUP($E27,'Data source'!$B$4:$I$12,5,FALSE))</f>
        <v/>
      </c>
      <c r="AH27" s="235" t="str">
        <f>IF(OR($E27="-",$G27="-",$J27="",$J$53="No"),"",(($Y27/$Y$49)*AG27))</f>
        <v/>
      </c>
      <c r="AI27" s="105"/>
      <c r="AJ27" s="234" t="str">
        <f>IF(OR($E27="-",$G27="-",$J27="",$J$53="No"),"",VLOOKUP($E27,'Data source'!$B$4:$I$12,6,FALSE))</f>
        <v/>
      </c>
      <c r="AK27" s="235" t="str">
        <f>IF(OR($E27="-",$G27="-",$J27="",$J$53="No"),"",(($Y27/$Y$49)*AJ27))</f>
        <v/>
      </c>
      <c r="AL27" s="317"/>
      <c r="AM27" s="234" t="str">
        <f>IF(OR($E27="-",$G27="-",$J27="",$J$53="No"),"",VLOOKUP($E27,'Data source'!$B$4:$I$12,7,FALSE))</f>
        <v/>
      </c>
      <c r="AN27" s="235" t="str">
        <f>IF(OR($E27="-",$G27="-",$J27="",$J$53="No"),"",(($Y27/$Y$49)*AM27))</f>
        <v/>
      </c>
      <c r="AO27" s="317"/>
      <c r="AP27" s="234" t="str">
        <f>IF(OR($E27="-",$G27="-",$J27="",$J$53="No"),"",VLOOKUP($E27,'Data source'!$B$4:$I$12,8,FALSE))</f>
        <v/>
      </c>
      <c r="AQ27" s="235" t="str">
        <f>IF(OR($E27="-",$G27="-",$J27="",$J$53="No"),"",(AP27/100*AN27)*($Y27/$Y$49))</f>
        <v/>
      </c>
      <c r="AR27" s="213"/>
      <c r="AS27" s="234" t="str">
        <f>IF(OR($E27="-",$G27="-",$J27="",$J$53="No"),"",VLOOKUP($E27,'Data source'!$B$4:$M$12,12,FALSE))</f>
        <v/>
      </c>
      <c r="AT27" s="224" t="str">
        <f>IF(OR($E27="-",$G27="-",$J27="",$J$53="No"),"",IF($AS27="Dry",$O27/$X27/10,IF($AS27="Wet",$O27/($AA27/100)*$X27/10,0)))</f>
        <v/>
      </c>
      <c r="AU27" s="224" t="str">
        <f>IF(OR($E27="-",$G27="-",$J27="",$J$53="No"),"",AT27/Z27)</f>
        <v/>
      </c>
      <c r="AV27" s="611" t="str">
        <f>IF(OR($E27="-",$G27="-",$J27="",$J$53="No"),"",($AT27*$J27)/100)</f>
        <v/>
      </c>
      <c r="AW27" s="610"/>
      <c r="AX27" s="335"/>
      <c r="AY27" s="234"/>
      <c r="AZ27" s="646" t="str">
        <f>IF(OR($E27="-",$G27="-",$J27="",$J$53="No",$AA$8="No"),"",VLOOKUP($E27,'Data source'!$B$4:$M$12,9,FALSE))</f>
        <v/>
      </c>
      <c r="BA27" s="646"/>
      <c r="BB27" s="646" t="str">
        <f>IF(OR($E27="-",$G27="-",$J27&lt;="",$J$53="No",$AA$8="No"),"",VLOOKUP($E27,'Data source'!$B$4:$M$12,10,FALSE))</f>
        <v/>
      </c>
      <c r="BC27" s="646"/>
      <c r="BD27" s="233" t="str">
        <f>IF(OR($E27="-",$G27="-",$J27="",$J$53="No",$AA$8="No"),"",VLOOKUP($E27,'Data source'!$B$4:$M$12,11,FALSE))</f>
        <v/>
      </c>
      <c r="BE27" s="559"/>
      <c r="BF27" s="317"/>
      <c r="BG27" s="317"/>
      <c r="BH27" s="234">
        <f>IF(OR($E27="-",$G27="-",$J27="",$J$53="No"),0,VLOOKUP($E27,'Data source'!$B$4:$T$12,13,FALSE))</f>
        <v>0</v>
      </c>
      <c r="BI27" s="224">
        <f>IF(OR($E27="-",$G27="-",$J27="",$J$53="No"),0,VLOOKUP($E27,'Data source'!$B$4:$T$12,14,FALSE))</f>
        <v>0</v>
      </c>
      <c r="BJ27" s="224">
        <f>IF(OR($E27="-",$G27="-",$J27="",$J$53="No"),0,VLOOKUP($E27,'Data source'!$B$4:$T$12,15,FALSE))</f>
        <v>0</v>
      </c>
      <c r="BK27" s="224">
        <f>IF(OR($E27="-",$G27="-",$J27="",$J$53="No"),0,VLOOKUP($E27,'Data source'!$B$4:$T$12,16,FALSE))</f>
        <v>0</v>
      </c>
      <c r="BL27" s="224">
        <f>IF(OR($E27="-",$G27="-",$J27="",$J$53="No"),0,VLOOKUP($E27,'Data source'!$B$4:$T$12,17,FALSE))</f>
        <v>0</v>
      </c>
      <c r="BM27" s="224">
        <f>IF(OR($E27="-",$G27="-",$J27="",$J$53="No"),0,VLOOKUP($E27,'Data source'!$B$4:$T$12,18,FALSE))</f>
        <v>0</v>
      </c>
      <c r="BN27" s="224">
        <f>IF(OR($E27="-",$G27="-",$J27="",$J$53="No"),0,VLOOKUP($E27,'Data source'!$B$4:$T$12,19,FALSE))</f>
        <v>0</v>
      </c>
      <c r="BO27" s="753">
        <f>IF(OR($E27="-",$G27="-",$J27="",$J$53="No"),0,(((43.498*$BH27)+(25.574*$BI27))-((28.206*$BJ27)+(62.375*$BK27)))*$Y27*10/1000)</f>
        <v>0</v>
      </c>
      <c r="BP27" s="333"/>
      <c r="BQ27" s="213"/>
      <c r="BR27" s="213"/>
      <c r="BS27" s="213"/>
      <c r="BT27" s="317"/>
      <c r="BU27" s="317"/>
      <c r="BV27" s="193"/>
      <c r="BW27" s="193"/>
      <c r="BZ27" s="645">
        <f>IF($AZ27="",0,$AZ27*$AE27)</f>
        <v>0</v>
      </c>
      <c r="CA27" s="645">
        <f>IF($BB27="",0,$BB27*$AE27)</f>
        <v>0</v>
      </c>
      <c r="CB27" s="645">
        <f>IF($BD27="",0,$BD27*$AE27)</f>
        <v>0</v>
      </c>
      <c r="CG27" s="8"/>
      <c r="CH27" s="8"/>
    </row>
    <row r="28" spans="1:89" s="7" customFormat="1" ht="19.5" customHeight="1">
      <c r="A28" s="194"/>
      <c r="B28" s="1893"/>
      <c r="C28" s="1895"/>
      <c r="D28" s="599"/>
      <c r="E28" s="1897"/>
      <c r="F28" s="599"/>
      <c r="G28" s="1900"/>
      <c r="H28" s="1901"/>
      <c r="I28" s="66"/>
      <c r="J28" s="783"/>
      <c r="K28" s="784"/>
      <c r="L28" s="785"/>
      <c r="M28" s="786"/>
      <c r="N28" s="787"/>
      <c r="O28" s="789"/>
      <c r="P28" s="834"/>
      <c r="Q28" s="194"/>
      <c r="R28" s="659" t="str">
        <f>IF(OR($C27="-",$G27="-",$L28&lt;=0,$J$54="No"),"",$L28)</f>
        <v/>
      </c>
      <c r="S28" s="659"/>
      <c r="T28" s="194"/>
      <c r="U28" s="194"/>
      <c r="V28" s="194"/>
      <c r="W28" s="733" t="s">
        <v>318</v>
      </c>
      <c r="X28" s="239" t="str">
        <f>IF(OR($E27="-",$G27="-",$L28&lt;=0,$J$54="No",$AA$6="NO"),"",VLOOKUP($G27,'Data source'!$B$122:$C$124,2,FALSE))</f>
        <v/>
      </c>
      <c r="Y28" s="237">
        <f>IF(OR($E27="-",$G27="-",$L28&lt;=0,$J$54="No",$AA$6="NO"),0,$L28*$X28)</f>
        <v>0</v>
      </c>
      <c r="Z28" s="574" t="str">
        <f>IF(OR($E27="-",$G27="-",$L28&lt;=0,$J$54="No",$AA$6="NO"),"",$R$21)</f>
        <v/>
      </c>
      <c r="AA28" s="237" t="str">
        <f>IF(OR($E27="-",$G27="-",$L28&lt;=0,$J$54="No",$AA$6="NO"),"",VLOOKUP($E$27,'Data source'!$B$4:$I$12,2,FALSE))</f>
        <v/>
      </c>
      <c r="AB28" s="238" t="str">
        <f>IF(OR($E27="-",$G27="-",$L28&lt;=0,$J$54="No",$AA$6="NO"),"",$Y28*$Z28)</f>
        <v/>
      </c>
      <c r="AC28" s="317"/>
      <c r="AD28" s="240" t="str">
        <f>IF(OR($E27="-",$G27="-",$L28&lt;=0,$J$54="No",$AA$6="NO"),"",VLOOKUP($E$27,'Data source'!$B$4:$I$12,4,FALSE))</f>
        <v/>
      </c>
      <c r="AE28" s="241" t="str">
        <f>IF(OR($E27="-",$G27="-",$L28&lt;=0,$J$54="No",$AA$6="NO"),"",(($Y28/$Y$50)*$AD28))</f>
        <v/>
      </c>
      <c r="AF28" s="94"/>
      <c r="AG28" s="240" t="str">
        <f>IF(OR($E27="-",$G27="-",$L28&lt;=0,$J$54="No",$AA$6="NO"),"",VLOOKUP($E$27,'Data source'!$B$4:$I$12,5,FALSE))</f>
        <v/>
      </c>
      <c r="AH28" s="241" t="str">
        <f>IF(OR($E27="-",$G27="-",$L28&lt;=0,$J$54="No",$AA$6="NO"),"",(($Y28/$Y$50)*AG28))</f>
        <v/>
      </c>
      <c r="AI28" s="105"/>
      <c r="AJ28" s="240" t="str">
        <f>IF(OR($E27="-",$G27="-",$L28&lt;=0,$J$54="No",$AA$6="NO"),"",VLOOKUP($E$27,'Data source'!$B$4:$I$12,6,FALSE))</f>
        <v/>
      </c>
      <c r="AK28" s="241" t="str">
        <f>IF(OR($E7="-",$G27="-",$L28&lt;=0,$J$54="No",$AA$6="NO"),"",(($Y28/$Y$50)*AJ28))</f>
        <v/>
      </c>
      <c r="AL28" s="317"/>
      <c r="AM28" s="240" t="str">
        <f>IF(OR($E27="-",$G27="-",$L28&lt;=0,$J$54="No",$AA$6="NO"),"",VLOOKUP($E$27,'Data source'!$B$4:$I$12,7,FALSE))</f>
        <v/>
      </c>
      <c r="AN28" s="241" t="str">
        <f>IF(OR($E27="-",$G27="-",$L28&lt;=0,$J$54="No",$AA$6="NO"),"",(($Y28/$Y$50)*AM28))</f>
        <v/>
      </c>
      <c r="AO28" s="317"/>
      <c r="AP28" s="240" t="str">
        <f>IF(OR($E27="-",$G27="-",$L28&lt;=0,$J$54="No",$AA$6="NO"),"",VLOOKUP($E$27,'Data source'!$B$4:$I$12,8,FALSE))</f>
        <v/>
      </c>
      <c r="AQ28" s="241" t="str">
        <f>IF(OR($E27="-",$G27="-",$L28&lt;=0,$J$54="No",$AA$6="NO"),"",(AP28/100*AN28)*($Y28/$Y$50))</f>
        <v/>
      </c>
      <c r="AR28" s="213"/>
      <c r="AS28" s="609" t="str">
        <f>IF(OR($E27="-",$G27="-",$L28&lt;=0,$J$55="No",$AA$6="NO"),"",VLOOKUP($E27,'Data source'!$B$4:$M$12,12,FALSE))</f>
        <v/>
      </c>
      <c r="AT28" s="237" t="str">
        <f>IF(OR($E27="-",$G27="-",$L28&lt;=0,$J$55="No",$AA$6="NO"),"",IF($AS28="Dry",$O27/$X28/10,IF($AS28="Wet",$O27/($AA28/100)*$X28/10,0)))</f>
        <v/>
      </c>
      <c r="AU28" s="237" t="str">
        <f>IF(OR($E27="-",$G27="-",$L28&lt;=0,$J$55="No",$AA$6="NO"),"",AT28/Z28)</f>
        <v/>
      </c>
      <c r="AV28" s="612" t="str">
        <f>IF(OR($E27="-",$G27="-",$L28&lt;=0,$J$55="No",$AA$6="NO"),"",($AT28*$L28)/100)</f>
        <v/>
      </c>
      <c r="AW28" s="610"/>
      <c r="AX28" s="335"/>
      <c r="AY28" s="240"/>
      <c r="AZ28" s="647" t="str">
        <f>IF(OR($E27="-",$G27="-",$L28&lt;=0,$J$54="No",$AA$6="NO"),"",VLOOKUP($E27,'Data source'!$B$4:$M$12,9,FALSE))</f>
        <v/>
      </c>
      <c r="BA28" s="647"/>
      <c r="BB28" s="647" t="str">
        <f>IF(OR($E27="-",$G27="-",$L28&lt;=0,$J$54="No",$AA$6="NO"),"",VLOOKUP($E27,'Data source'!$B$4:$M$12,10,FALSE))</f>
        <v/>
      </c>
      <c r="BC28" s="647"/>
      <c r="BD28" s="238" t="str">
        <f>IF(OR($E27="-",$G27="-",$L28&lt;=0,$J$54="No",$AA$6="NO"),"",VLOOKUP($E27,'Data source'!$B$4:$M$12,11,FALSE))</f>
        <v/>
      </c>
      <c r="BE28" s="559"/>
      <c r="BF28" s="317"/>
      <c r="BG28" s="317"/>
      <c r="BH28" s="240">
        <f>IF(OR($E27="-",$G27="-",$L28&lt;=0,$J$54="No",$AA$6="NO"),0,VLOOKUP($E$27,'Data source'!$B$4:$T$12,13,FALSE))</f>
        <v>0</v>
      </c>
      <c r="BI28" s="237">
        <f>IF(OR($E27="-",$G27="-",$L28&lt;=0,$J$54="No",$AA$6="NO"),0,VLOOKUP($E$27,'Data source'!$B$4:$T$12,14,FALSE))</f>
        <v>0</v>
      </c>
      <c r="BJ28" s="237">
        <f>IF(OR($E27="-",$G27="-",$L28&lt;=0,$J$54="No",$AA$6="NO"),0,VLOOKUP($E$27,'Data source'!$B$4:$T$12,15,FALSE))</f>
        <v>0</v>
      </c>
      <c r="BK28" s="237">
        <f>IF(OR($E27="-",$G27="-",$L28&lt;=0,$J$54="No",$AA$6="NO"),0,VLOOKUP($E$27,'Data source'!$B$4:$T$12,16,FALSE))</f>
        <v>0</v>
      </c>
      <c r="BL28" s="237">
        <f>IF(OR($E27="-",$G27="-",$L28&lt;=0,$J$54="No",$AA$6="NO"),0,VLOOKUP($E$27,'Data source'!$B$4:$T$12,17,FALSE))</f>
        <v>0</v>
      </c>
      <c r="BM28" s="237">
        <f>IF(OR($E27="-",$G27="-",$L28&lt;=0,$J$54="No",$AA$6="NO"),0,VLOOKUP($E$27,'Data source'!$B$4:$T$12,18,FALSE))</f>
        <v>0</v>
      </c>
      <c r="BN28" s="237">
        <f>IF(OR($E27="-",$G27="-",$L28&lt;=0,$J$54="No",$AA$6="NO"),0,VLOOKUP($E$27,'Data source'!$B$4:$T$12,19,FALSE))</f>
        <v>0</v>
      </c>
      <c r="BO28" s="754">
        <f>IF(OR($E27="-",$G27="-",$L28&lt;=0,$J$54="No",$AA$6="NO"),0,((43.498*$BH28)+(25.574*$BI28))-((28.206*$BJ28)+(62.375*$BK28)))*$Y28*10/1000</f>
        <v>0</v>
      </c>
      <c r="BP28" s="333"/>
      <c r="BQ28" s="213"/>
      <c r="BR28" s="213"/>
      <c r="BS28" s="213"/>
      <c r="BT28" s="317"/>
      <c r="BU28" s="317"/>
      <c r="BV28" s="193"/>
      <c r="BW28" s="193"/>
      <c r="BZ28" s="645">
        <f>IF($AZ28="",0,$AZ28*$AE28)</f>
        <v>0</v>
      </c>
      <c r="CA28" s="645">
        <f>IF($BB28="",0,$BB28*$AE28)</f>
        <v>0</v>
      </c>
      <c r="CB28" s="645">
        <f>IF($BD28="",0,$BD28*$AE28)</f>
        <v>0</v>
      </c>
      <c r="CG28" s="8"/>
      <c r="CH28" s="8"/>
    </row>
    <row r="29" spans="1:89" s="7" customFormat="1" ht="9" customHeight="1">
      <c r="A29" s="194"/>
      <c r="B29" s="836"/>
      <c r="C29" s="775"/>
      <c r="D29" s="594"/>
      <c r="E29" s="594"/>
      <c r="F29" s="594"/>
      <c r="G29" s="594"/>
      <c r="H29" s="594"/>
      <c r="I29" s="861"/>
      <c r="J29" s="861"/>
      <c r="K29" s="861"/>
      <c r="L29" s="597"/>
      <c r="M29" s="32"/>
      <c r="N29" s="51"/>
      <c r="O29" s="594"/>
      <c r="P29" s="834"/>
      <c r="Q29" s="194"/>
      <c r="R29" s="659"/>
      <c r="S29" s="659"/>
      <c r="T29" s="194"/>
      <c r="U29" s="194"/>
      <c r="V29" s="654"/>
      <c r="W29" s="194"/>
      <c r="X29" s="145"/>
      <c r="Y29" s="67"/>
      <c r="Z29" s="130"/>
      <c r="AA29" s="131"/>
      <c r="AB29" s="133"/>
      <c r="AC29" s="317"/>
      <c r="AD29" s="146"/>
      <c r="AE29" s="132"/>
      <c r="AF29" s="94"/>
      <c r="AG29" s="146"/>
      <c r="AH29" s="130"/>
      <c r="AI29" s="105"/>
      <c r="AJ29" s="146"/>
      <c r="AK29" s="130"/>
      <c r="AL29" s="317"/>
      <c r="AM29" s="146"/>
      <c r="AN29" s="130"/>
      <c r="AO29" s="317"/>
      <c r="AP29" s="146"/>
      <c r="AQ29" s="130"/>
      <c r="AR29" s="213"/>
      <c r="AS29" s="193"/>
      <c r="AT29" s="193"/>
      <c r="AU29" s="193"/>
      <c r="AV29" s="193"/>
      <c r="AW29" s="193"/>
      <c r="AX29" s="335"/>
      <c r="AY29" s="324"/>
      <c r="AZ29" s="307"/>
      <c r="BA29" s="307"/>
      <c r="BB29" s="307"/>
      <c r="BC29" s="307"/>
      <c r="BD29" s="307"/>
      <c r="BE29" s="350"/>
      <c r="BF29" s="350"/>
      <c r="BG29" s="350"/>
      <c r="BH29" s="350"/>
      <c r="BI29" s="350"/>
      <c r="BJ29" s="350"/>
      <c r="BK29" s="350"/>
      <c r="BL29" s="350"/>
      <c r="BM29" s="350"/>
      <c r="BN29" s="350"/>
      <c r="BO29" s="755"/>
      <c r="BP29" s="333"/>
      <c r="BQ29" s="213"/>
      <c r="BR29" s="213"/>
      <c r="BS29" s="213"/>
      <c r="BT29" s="317"/>
      <c r="BU29" s="317"/>
      <c r="BV29" s="351"/>
      <c r="BW29" s="193"/>
      <c r="BZ29" s="645"/>
      <c r="CA29" s="645"/>
      <c r="CB29" s="645"/>
      <c r="CC29" s="8"/>
      <c r="CD29" s="8"/>
      <c r="CG29" s="8"/>
      <c r="CH29" s="8"/>
      <c r="CK29" s="8"/>
    </row>
    <row r="30" spans="1:89" s="7" customFormat="1" ht="19.5" customHeight="1">
      <c r="A30" s="194"/>
      <c r="B30" s="1902"/>
      <c r="C30" s="1903" t="str">
        <f>IF('   ASK    '!W8="","",'   ASK    '!W8)</f>
        <v>Hay_Silage</v>
      </c>
      <c r="D30" s="820"/>
      <c r="E30" s="1903" t="str">
        <f>IF('   ASK    '!Y8="","",'   ASK    '!Y8)</f>
        <v>Hay pasture good</v>
      </c>
      <c r="G30" s="1898" t="s">
        <v>156</v>
      </c>
      <c r="H30" s="1899"/>
      <c r="I30" s="66"/>
      <c r="J30" s="822"/>
      <c r="K30" s="779"/>
      <c r="L30" s="779"/>
      <c r="M30" s="780"/>
      <c r="N30" s="781"/>
      <c r="O30" s="842"/>
      <c r="P30" s="834"/>
      <c r="Q30" s="194"/>
      <c r="R30" s="659" t="str">
        <f>IF(OR($E30="-",$G30="-",$J30&lt;=0,$J$53="No"),"",$J30)</f>
        <v/>
      </c>
      <c r="S30" s="659">
        <f>IF(OR($E30="-",$G30="-",$J$53="No"),0,1)</f>
        <v>0</v>
      </c>
      <c r="T30" s="194"/>
      <c r="U30" s="194"/>
      <c r="V30" s="655" t="str">
        <f>E30</f>
        <v>Hay pasture good</v>
      </c>
      <c r="W30" s="733" t="s">
        <v>317</v>
      </c>
      <c r="X30" s="232" t="str">
        <f>IF(OR($E30="-",$G30="-",$J30&lt;=0,$J$53="No"),"",VLOOKUP($G30,'Data source'!$B$128:$C$137,2,FALSE))</f>
        <v/>
      </c>
      <c r="Y30" s="211">
        <f>IF(OR($E30="-",$G30="-",$J30&lt;=0,$J$53="No"),0,J30*X30)</f>
        <v>0</v>
      </c>
      <c r="Z30" s="573" t="str">
        <f>IF(OR($E30="-",$G30="-",$J30&lt;=0,$J$53="No"),"",$R$21)</f>
        <v/>
      </c>
      <c r="AA30" s="224" t="str">
        <f>IF(OR($E30="-",$G30="-",$J30&lt;=0,$J$53="No"),"",VLOOKUP($E30,'Data source'!$B$15:$I$99,2,FALSE))</f>
        <v/>
      </c>
      <c r="AB30" s="233" t="str">
        <f>IF(OR($E30="-",$G30="-",$J30&lt;=0,$J$53="No"),"",Y30*Z30)</f>
        <v/>
      </c>
      <c r="AC30" s="317"/>
      <c r="AD30" s="234" t="str">
        <f>IF(OR($E30="-",$G30="-",$J30&lt;=0,$J$53="No"),"",VLOOKUP($E30,'Data source'!$B$15:$I$99,4,FALSE))</f>
        <v/>
      </c>
      <c r="AE30" s="235" t="str">
        <f>IF(OR($E30="-",$G30="-",$J30&lt;=0,$J$53="No"),"",(($Y30/$Y$49)*AD30))</f>
        <v/>
      </c>
      <c r="AF30" s="94"/>
      <c r="AG30" s="234" t="str">
        <f>IF(OR($E30="-",$G30="-",$J30&lt;=0,$J$53="No"),"",VLOOKUP($E30,'Data source'!$B$15:$I$99,5,FALSE))</f>
        <v/>
      </c>
      <c r="AH30" s="235" t="str">
        <f>IF(OR($E30="-",$G30="-",$J30&lt;=0,$J$53="No"),"",(($Y30/$Y$49)*AG30))</f>
        <v/>
      </c>
      <c r="AI30" s="105"/>
      <c r="AJ30" s="234" t="str">
        <f>IF(OR($E30="-",$G30="-",$J30&lt;=0,$J$53="No"),"",VLOOKUP($E30,'Data source'!$B$15:$I$99,6,FALSE))</f>
        <v/>
      </c>
      <c r="AK30" s="235" t="str">
        <f>IF(OR($E30="-",$G30="-",$J30&lt;=0,$J$53="No"),"",(($Y30/$Y$49)*AJ30))</f>
        <v/>
      </c>
      <c r="AL30" s="317"/>
      <c r="AM30" s="234" t="str">
        <f>IF(OR($E30="-",$G30="-",$J30&lt;=0,$J$53="No"),"",VLOOKUP($E30,'Data source'!$B$15:$I$99,7,FALSE))</f>
        <v/>
      </c>
      <c r="AN30" s="235" t="str">
        <f>IF(OR($E30="-",$G30="-",$J30&lt;=0,$J$53="No"),"",(($Y30/$Y$49)*AM30))</f>
        <v/>
      </c>
      <c r="AO30" s="317"/>
      <c r="AP30" s="234" t="str">
        <f>IF(OR($E30="-",$G30="-",$J30&lt;=0,$J$53="No"),"",VLOOKUP($E30,'Data source'!$B$15:$I$99,8,FALSE))</f>
        <v/>
      </c>
      <c r="AQ30" s="235" t="str">
        <f>IF(OR($E30="-",$G30="-",$J30="",$J$53="No"),"",(AP30/100*AN30)*($Y30/$Y$49))</f>
        <v/>
      </c>
      <c r="AR30" s="213"/>
      <c r="AS30" s="234" t="str">
        <f>IF(OR($E30="-",$G30="-",$J30&lt;=0,$J$53="No"),"",VLOOKUP($E30,'Data source'!$B$15:$M$99,12,FALSE))</f>
        <v/>
      </c>
      <c r="AT30" s="224" t="str">
        <f>IF(OR($E30="-",$G30="-",$J30&lt;=0,$J$53="No"),"",IF($AS30="Dry",$O30/$X30/10,IF($AS30="Wet",$O30/($AA30/100)*$X30/10,0)))</f>
        <v/>
      </c>
      <c r="AU30" s="224" t="str">
        <f>IF(OR($E30="-",$G30="-",$J30&lt;=0,$J$53="No"),"",AT30/Z30)</f>
        <v/>
      </c>
      <c r="AV30" s="611" t="str">
        <f>IF(OR($E30="-",$G30="-",$J30&lt;=0,$J$53="No"),"",($AT30*$J30)/100)</f>
        <v/>
      </c>
      <c r="AW30" s="610"/>
      <c r="AX30" s="335"/>
      <c r="AY30" s="234"/>
      <c r="AZ30" s="646" t="str">
        <f>IF(OR($E30="-",$G30="-",$J30&lt;=0,$J$53="No"),"",VLOOKUP($E30,'Data source'!$B$12:$M$99,9,FALSE))</f>
        <v/>
      </c>
      <c r="BA30" s="646"/>
      <c r="BB30" s="646" t="str">
        <f>IF(OR($E30="-",$G30="-",$J30&lt;=0,$J$53="No"),"",VLOOKUP($E30,'Data source'!$B$12:$M$99,10,FALSE))</f>
        <v/>
      </c>
      <c r="BC30" s="646"/>
      <c r="BD30" s="646" t="str">
        <f>IF(OR($E30="-",$G30="-",$J30&lt;=0,$J$53="No"),"",VLOOKUP($E30,'Data source'!$B$12:$M$99,11,FALSE))</f>
        <v/>
      </c>
      <c r="BE30" s="648"/>
      <c r="BF30" s="350"/>
      <c r="BG30" s="350"/>
      <c r="BH30" s="234">
        <f>IF(OR($E30="-",$G30="-",$J30&lt;=0,$J$53="No"),0,VLOOKUP($E30,'Data source'!$B$15:$T$99,13,FALSE))</f>
        <v>0</v>
      </c>
      <c r="BI30" s="224">
        <f>IF(OR($E30="-",$G30="-",$J30&lt;=0,$J$53="No"),0,VLOOKUP($E30,'Data source'!$B$15:$T$99,14,FALSE))</f>
        <v>0</v>
      </c>
      <c r="BJ30" s="224">
        <f>IF(OR($E30="-",$G30="-",$J30&lt;=0,$J$53="No"),0,VLOOKUP($E30,'Data source'!$B$15:$T$99,15,FALSE))</f>
        <v>0</v>
      </c>
      <c r="BK30" s="224">
        <f>IF(OR($E30="-",$G30="-",$J30&lt;=0,$J$53="No"),0,VLOOKUP($E30,'Data source'!$B$15:$T$99,16,FALSE))</f>
        <v>0</v>
      </c>
      <c r="BL30" s="224">
        <f>IF(OR($E30="-",$G30="-",$J30&lt;=0,$J$53="No"),0,VLOOKUP($E30,'Data source'!$B$15:$T$99,17,FALSE))</f>
        <v>0</v>
      </c>
      <c r="BM30" s="224">
        <f>IF(OR($E30="-",$G30="-",$J30&lt;=0,$J$53="No"),0,VLOOKUP($E30,'Data source'!$B$15:$T$99,18,FALSE))</f>
        <v>0</v>
      </c>
      <c r="BN30" s="224">
        <f>IF(OR($E30="-",$G30="-",$J30&lt;=0,$J$53="No"),0,VLOOKUP($E30,'Data source'!$B$15:$T$99,19,FALSE))</f>
        <v>0</v>
      </c>
      <c r="BO30" s="753">
        <f>IF(OR($E30="-",$G30="-",$J30&lt;=0,$J$53="No"),0,((43.498*$BH30)+(25.574*$BI30))-((28.206*$BJ30)+(62.375*$BK30)))*$Y30*10/1000</f>
        <v>0</v>
      </c>
      <c r="BP30" s="333"/>
      <c r="BQ30" s="213"/>
      <c r="BR30" s="213"/>
      <c r="BS30" s="213"/>
      <c r="BT30" s="317"/>
      <c r="BU30" s="317"/>
      <c r="BV30" s="351"/>
      <c r="BW30" s="193"/>
      <c r="BZ30" s="645">
        <f>IF($AZ30="",0,$AZ30*$AE30)</f>
        <v>0</v>
      </c>
      <c r="CA30" s="645">
        <f>IF($BB30="",0,$BB30*$AE30)</f>
        <v>0</v>
      </c>
      <c r="CB30" s="645">
        <f>IF($BD30="",0,$BD30*$AE30)</f>
        <v>0</v>
      </c>
      <c r="CC30" s="8"/>
      <c r="CD30" s="8"/>
      <c r="CG30" s="8"/>
      <c r="CH30" s="8"/>
      <c r="CK30" s="8"/>
    </row>
    <row r="31" spans="1:89" s="7" customFormat="1" ht="19.5" customHeight="1">
      <c r="A31" s="194"/>
      <c r="B31" s="1902"/>
      <c r="C31" s="1904"/>
      <c r="D31" s="65"/>
      <c r="E31" s="1904"/>
      <c r="F31" s="820"/>
      <c r="G31" s="1900"/>
      <c r="H31" s="1901"/>
      <c r="I31" s="66"/>
      <c r="J31" s="819"/>
      <c r="K31" s="784"/>
      <c r="L31" s="785"/>
      <c r="M31" s="786"/>
      <c r="N31" s="787"/>
      <c r="O31" s="789"/>
      <c r="P31" s="834"/>
      <c r="Q31" s="194"/>
      <c r="R31" s="659" t="str">
        <f>IF(OR($E30="-",$G30="-",$L31&lt;=0,$J$54="No"),"",$L31)</f>
        <v/>
      </c>
      <c r="S31" s="659"/>
      <c r="T31" s="194"/>
      <c r="U31" s="194"/>
      <c r="V31" s="194"/>
      <c r="W31" s="733" t="s">
        <v>318</v>
      </c>
      <c r="X31" s="239" t="str">
        <f>IF(OR($E30="-",$G30="-",$L31&lt;=0,$J$54="No",$AA$6="NO"),"",VLOOKUP($G30,'Data source'!$B$128:$C$137,2,FALSE))</f>
        <v/>
      </c>
      <c r="Y31" s="237">
        <f>IF(OR($E30="-",$G30="-",$L31&lt;=0,$J$54="No",$AA$6="NO"),0,$L31*$X31)</f>
        <v>0</v>
      </c>
      <c r="Z31" s="574" t="str">
        <f>IF(OR($E30="-",$G30="-",$L31&lt;=0,$J$54="No",$AA$6="NO"),"",$R$21)</f>
        <v/>
      </c>
      <c r="AA31" s="237" t="str">
        <f>IF(OR($E30="-",$G30="-",$L31&lt;=0,$J$54="No",$AA$6="NO"),"",VLOOKUP($E30,'Data source'!$B$12:$I$99,2,FALSE))</f>
        <v/>
      </c>
      <c r="AB31" s="238" t="str">
        <f>IF(OR($E30="-",$G30="-",$L31&lt;=0,$J$54="No",$AA$6="NO"),"",$Y31*$Z31)</f>
        <v/>
      </c>
      <c r="AC31" s="317"/>
      <c r="AD31" s="240" t="str">
        <f>IF(OR($E30="-",$G30="-",$L31&lt;=0,$J$54="No",$AA$6="NO"),"",VLOOKUP($E30,'Data source'!$B$12:$I$99,4,FALSE))</f>
        <v/>
      </c>
      <c r="AE31" s="241" t="str">
        <f>IF(OR($E30="-",$G30="-",$L31&lt;=0,$J$54="No",$AA$6="NO"),"",(($Y31/$Y$50)*$AD31))</f>
        <v/>
      </c>
      <c r="AF31" s="94"/>
      <c r="AG31" s="240" t="str">
        <f>IF(OR($E30="-",$G30="-",$L31&lt;=0,$J$54="No",$AA$6="NO"),"",VLOOKUP($E30,'Data source'!$B$12:$I$99,5,FALSE))</f>
        <v/>
      </c>
      <c r="AH31" s="241" t="str">
        <f>IF(OR($E30="-",$G30="-",$L31&lt;=0,$J$54="No",$AA$6="NO"),"",(($Y31/$Y$50)*AG31))</f>
        <v/>
      </c>
      <c r="AI31" s="105"/>
      <c r="AJ31" s="240" t="str">
        <f>IF(OR($E30="-",$G30="-",$L31&lt;=0,$J$54="No",$AA$6="NO"),"",VLOOKUP($E30,'Data source'!$B$12:$I$99,6,FALSE))</f>
        <v/>
      </c>
      <c r="AK31" s="241" t="str">
        <f>IF(OR($E30="-",$G30="-",$L31&lt;=0,$J$54="No",$AA$6="NO"),"",(($Y31/$Y$50)*AJ31))</f>
        <v/>
      </c>
      <c r="AL31" s="317"/>
      <c r="AM31" s="240" t="str">
        <f>IF(OR($E30="-",$G30="-",$L31&lt;=0,$J$54="No",$AA$6="NO"),"",VLOOKUP($E30,'Data source'!$B$12:$I$99,7,FALSE))</f>
        <v/>
      </c>
      <c r="AN31" s="241" t="str">
        <f>IF(OR($E30="-",$G30="-",$L31&lt;=0,$J$54="No",$AA$6="NO"),"",(($Y31/$Y$50)*AM31))</f>
        <v/>
      </c>
      <c r="AO31" s="317"/>
      <c r="AP31" s="240" t="str">
        <f>IF(OR($E30="-",$G30="-",$L31&lt;=0,$J$54="No",$AA$6="NO"),"",VLOOKUP($E30,'Data source'!$B$12:$I$99,8,FALSE))</f>
        <v/>
      </c>
      <c r="AQ31" s="241" t="str">
        <f>IF(OR($E30="-",$G30="-",$L31&lt;=0,$J$54="No",$AA$6="NO"),"",(AP31/100*AN31)*($Y31/$Y$50))</f>
        <v/>
      </c>
      <c r="AR31" s="213"/>
      <c r="AS31" s="609" t="str">
        <f>IF(OR($E30="-",$G30="-",$L31&lt;=0,$J$54="No",$AA$6="NO"),"",VLOOKUP($E30,'Data source'!$B$15:$M$99,12,FALSE))</f>
        <v/>
      </c>
      <c r="AT31" s="237" t="str">
        <f>IF(OR($E30="-",$G30="-",$L31&lt;=0,$J$54="No",$AA$6="NO"),"",IF($AS31="Dry",$O30/$X31/10,IF($AS31="Wet",$O30/($AA31/100)*$X31/10,0)))</f>
        <v/>
      </c>
      <c r="AU31" s="237" t="str">
        <f>IF(OR($E30="-",$G30="-",$L31&lt;=0,$J$54="No",$AA$6="NO"),"",IF(OR($H17="-",$Q31="-",$L31=0),"",AT31/Z31))</f>
        <v/>
      </c>
      <c r="AV31" s="612" t="str">
        <f>IF(OR($E30="-",$G30="-",$L31&lt;=0,$J$54="No",$AA$6="NO"),"",IF(OR($H17="-",$Q31="-",$L31=0),"",($AT31*$L31)/100))</f>
        <v/>
      </c>
      <c r="AW31" s="610"/>
      <c r="AX31" s="335"/>
      <c r="AY31" s="240"/>
      <c r="AZ31" s="647" t="str">
        <f>IF(OR($E30="-",$G30="-",$L31&lt;=0,$J$54="No",$AA$6="NO"),"",VLOOKUP($E30,'Data source'!$B$15:$M$99,9,FALSE))</f>
        <v/>
      </c>
      <c r="BA31" s="647"/>
      <c r="BB31" s="647" t="str">
        <f>IF(OR($E30="-",$G30="-",$L31&lt;=0,$J$54="No",$AA$6="NO"),"",VLOOKUP($E30,'Data source'!$B$15:$M$99,10,FALSE))</f>
        <v/>
      </c>
      <c r="BC31" s="647"/>
      <c r="BD31" s="647" t="str">
        <f>IF(OR($E30="-",$G30="-",$L31&lt;=0,$J$54="No",$AA$6="NO"),"",VLOOKUP($E30,'Data source'!$B$15:$M$99,11,FALSE))</f>
        <v/>
      </c>
      <c r="BE31" s="648"/>
      <c r="BF31" s="350"/>
      <c r="BG31" s="350"/>
      <c r="BH31" s="240">
        <f>IF(OR($E30="-",$G30="-",$L31&lt;=0,$J$54="No",$AA$6="NO"),0,VLOOKUP($E30,'Data source'!$B$15:$T$99,13,FALSE))</f>
        <v>0</v>
      </c>
      <c r="BI31" s="237">
        <f>IF(OR($E30="-",$G30="-",$L31&lt;=0,$J$54="No",$AA$6="NO"),0,VLOOKUP($E30,'Data source'!$B$15:$T$99,14,FALSE))</f>
        <v>0</v>
      </c>
      <c r="BJ31" s="237">
        <f>IF(OR($E30="-",$G30="-",$L31&lt;=0,$J$54="No",$AA$6="NO"),0,VLOOKUP($E30,'Data source'!$B$15:$T$99,15,FALSE))</f>
        <v>0</v>
      </c>
      <c r="BK31" s="237">
        <f>IF(OR($E30="-",$G30="-",$L31&lt;=0,$J$54="No",$AA$6="NO"),0,VLOOKUP($E30,'Data source'!$B$15:$T$99,16,FALSE))</f>
        <v>0</v>
      </c>
      <c r="BL31" s="237">
        <f>IF(OR($E30="-",$G30="-",$L31&lt;=0,$J$54="No",$AA$6="NO"),0,VLOOKUP($E30,'Data source'!$B$15:$T$99,17,FALSE))</f>
        <v>0</v>
      </c>
      <c r="BM31" s="237">
        <f>IF(OR($E30="-",$G30="-",$L31&lt;=0,$J$54="No",$AA$6="NO"),0,VLOOKUP($E30,'Data source'!$B$15:$T$99,18,FALSE))</f>
        <v>0</v>
      </c>
      <c r="BN31" s="237">
        <f>IF(OR($E30="-",$G30="-",$L31&lt;=0,$J$54="No",$AA$6="NO"),0,VLOOKUP($E30,'Data source'!$B$15:$T$99,19,FALSE))</f>
        <v>0</v>
      </c>
      <c r="BO31" s="754">
        <f>IF(OR($E30="-",$G30="-",$L31&lt;=0,$J$54="No",$AA$6="NO"),0,((43.498*$BH31)+(25.574*$BI31))-((28.206*$BJ31)+(62.375*$BK31)))*$Y31*10/1000</f>
        <v>0</v>
      </c>
      <c r="BP31" s="333"/>
      <c r="BQ31" s="213"/>
      <c r="BR31" s="213"/>
      <c r="BS31" s="213"/>
      <c r="BT31" s="317"/>
      <c r="BU31" s="317"/>
      <c r="BV31" s="351"/>
      <c r="BW31" s="193"/>
      <c r="BZ31" s="645">
        <f>IF($AZ31="",0,$AZ31*$AE31)</f>
        <v>0</v>
      </c>
      <c r="CA31" s="645">
        <f>IF($BB31="",0,$BB31*$AE31)</f>
        <v>0</v>
      </c>
      <c r="CB31" s="645">
        <f>IF($BD31="",0,$BD31*$AE31)</f>
        <v>0</v>
      </c>
      <c r="CC31" s="8"/>
      <c r="CD31" s="8"/>
      <c r="CG31" s="8"/>
      <c r="CH31" s="8"/>
      <c r="CK31" s="8"/>
    </row>
    <row r="32" spans="1:89" s="7" customFormat="1" ht="9" customHeight="1">
      <c r="A32" s="194"/>
      <c r="B32" s="837"/>
      <c r="C32" s="594"/>
      <c r="D32" s="570"/>
      <c r="E32" s="570"/>
      <c r="F32" s="570"/>
      <c r="G32" s="570"/>
      <c r="H32" s="570"/>
      <c r="I32" s="65"/>
      <c r="J32" s="65"/>
      <c r="K32" s="65"/>
      <c r="L32" s="600"/>
      <c r="M32" s="32"/>
      <c r="N32" s="51"/>
      <c r="O32" s="594"/>
      <c r="P32" s="834"/>
      <c r="Q32" s="194"/>
      <c r="R32" s="659"/>
      <c r="S32" s="659"/>
      <c r="T32" s="194"/>
      <c r="U32" s="194"/>
      <c r="V32" s="194"/>
      <c r="W32" s="194"/>
      <c r="X32" s="522"/>
      <c r="Y32" s="324"/>
      <c r="Z32" s="324"/>
      <c r="AA32" s="324"/>
      <c r="AB32" s="307"/>
      <c r="AC32" s="317"/>
      <c r="AD32" s="317"/>
      <c r="AE32" s="317"/>
      <c r="AF32" s="317"/>
      <c r="AG32" s="317"/>
      <c r="AH32" s="317"/>
      <c r="AI32" s="317"/>
      <c r="AJ32" s="317"/>
      <c r="AK32" s="317"/>
      <c r="AL32" s="317"/>
      <c r="AM32" s="317"/>
      <c r="AN32" s="317"/>
      <c r="AO32" s="317"/>
      <c r="AP32" s="317"/>
      <c r="AQ32" s="317"/>
      <c r="AR32" s="317"/>
      <c r="AS32" s="317"/>
      <c r="AT32" s="317"/>
      <c r="AU32" s="317"/>
      <c r="AV32" s="317"/>
      <c r="AW32" s="193"/>
      <c r="AX32" s="335"/>
      <c r="AY32" s="324"/>
      <c r="AZ32" s="307"/>
      <c r="BA32" s="307"/>
      <c r="BB32" s="307"/>
      <c r="BC32" s="307"/>
      <c r="BD32" s="307"/>
      <c r="BE32" s="350"/>
      <c r="BF32" s="350"/>
      <c r="BG32" s="350"/>
      <c r="BH32" s="350"/>
      <c r="BI32" s="350"/>
      <c r="BJ32" s="350"/>
      <c r="BK32" s="350"/>
      <c r="BL32" s="350"/>
      <c r="BM32" s="350"/>
      <c r="BN32" s="350"/>
      <c r="BO32" s="755"/>
      <c r="BP32" s="350"/>
      <c r="BQ32" s="350"/>
      <c r="BR32" s="350"/>
      <c r="BS32" s="213"/>
      <c r="BT32" s="317"/>
      <c r="BU32" s="317"/>
      <c r="BV32" s="351"/>
      <c r="BW32" s="193"/>
      <c r="BZ32" s="645"/>
      <c r="CA32" s="645"/>
      <c r="CB32" s="645"/>
      <c r="CC32" s="8"/>
      <c r="CD32" s="8"/>
      <c r="CG32" s="8"/>
      <c r="CH32" s="8"/>
      <c r="CK32" s="8"/>
    </row>
    <row r="33" spans="1:93" ht="19.5" customHeight="1">
      <c r="A33" s="194"/>
      <c r="B33" s="1902"/>
      <c r="C33" s="1903" t="str">
        <f>IF('   ASK    '!W11="","",'   ASK    '!W11)</f>
        <v>Concentrates</v>
      </c>
      <c r="D33" s="65"/>
      <c r="E33" s="1903" t="str">
        <f>IF('   ASK    '!Y11="","",'   ASK    '!Y11)</f>
        <v>Barley</v>
      </c>
      <c r="F33" s="65"/>
      <c r="G33" s="1898" t="s">
        <v>156</v>
      </c>
      <c r="H33" s="1899"/>
      <c r="I33" s="66"/>
      <c r="J33" s="822"/>
      <c r="K33" s="779"/>
      <c r="L33" s="823"/>
      <c r="M33" s="824"/>
      <c r="N33" s="781"/>
      <c r="O33" s="842"/>
      <c r="P33" s="834"/>
      <c r="Q33" s="194"/>
      <c r="R33" s="659" t="str">
        <f>IF(OR($C33="-",$G33="-",$J33&lt;=0,$J$53="No"),"",$J33)</f>
        <v/>
      </c>
      <c r="S33" s="659">
        <f>IF(OR($C33="-",$G33="-",$J$53="No"),0,1)</f>
        <v>0</v>
      </c>
      <c r="T33" s="194"/>
      <c r="U33" s="194"/>
      <c r="V33" s="655" t="str">
        <f>C33</f>
        <v>Concentrates</v>
      </c>
      <c r="W33" s="733" t="s">
        <v>317</v>
      </c>
      <c r="X33" s="232" t="str">
        <f>IF(OR($E33="-",$G33="-",$J33&lt;=0,$J$53="No"),"",VLOOKUP($G33,'Data source'!$B$128:$C$137,2,FALSE))</f>
        <v/>
      </c>
      <c r="Y33" s="211">
        <f>IF(OR($E33="-",$G33="-",$J33&lt;=0,$J$53="No"),0,J33*X33)</f>
        <v>0</v>
      </c>
      <c r="Z33" s="573" t="str">
        <f>IF(OR($E33="-",$G33="-",$J33&lt;=0,$J$53="No"),"",$R$21)</f>
        <v/>
      </c>
      <c r="AA33" s="224" t="str">
        <f>IF(OR($E33="-",$G33="-",$J33&lt;=0,$J$53="No"),"",VLOOKUP($E33,'Data source'!$B$15:$I$99,2,FALSE))</f>
        <v/>
      </c>
      <c r="AB33" s="233" t="str">
        <f>IF(OR($E33="-",$G33="-",$J33&lt;=0,$J$53="No"),"",Y33*Z33)</f>
        <v/>
      </c>
      <c r="AC33" s="317"/>
      <c r="AD33" s="234" t="str">
        <f>IF(OR($E33="-",$G33="-",$J33&lt;=0,$J$53="No"),"",VLOOKUP($E33,'Data source'!$B$15:$I$99,4,FALSE))</f>
        <v/>
      </c>
      <c r="AE33" s="235" t="str">
        <f>IF(OR($E33="-",$G33="-",$J33&lt;=0,$J$53="No"),"",(($Y33/$Y$49)*AD33))</f>
        <v/>
      </c>
      <c r="AF33" s="94"/>
      <c r="AG33" s="234" t="str">
        <f>IF(OR($E33="-",$G33="-",$J33&lt;=0,$J$53="No"),"",VLOOKUP($E33,'Data source'!$B$15:$I$99,5,FALSE))</f>
        <v/>
      </c>
      <c r="AH33" s="235" t="str">
        <f>IF(OR($E33="-",$G33="-",$J33&lt;=0,$J$53="No"),"",(($Y33/$Y$49)*AG33))</f>
        <v/>
      </c>
      <c r="AI33" s="105"/>
      <c r="AJ33" s="234" t="str">
        <f>IF(OR($E33="-",$G33="-",$J33&lt;=0,$J$53="No"),"",VLOOKUP($E33,'Data source'!$B$15:$I$99,6,FALSE))</f>
        <v/>
      </c>
      <c r="AK33" s="235" t="str">
        <f>IF(OR($E33="-",$G33="-",$J33&lt;=0,$J$53="No"),"",(($Y33/$Y$49)*AJ33))</f>
        <v/>
      </c>
      <c r="AL33" s="317"/>
      <c r="AM33" s="234" t="str">
        <f>IF(OR($E33="-",$G33="-",$J33&lt;=0,$J$53="No"),"",VLOOKUP($E33,'Data source'!$B$15:$I$99,7,FALSE))</f>
        <v/>
      </c>
      <c r="AN33" s="235" t="str">
        <f>IF(OR($E33="-",$G33="-",$J33&lt;=0,$J$53="No"),"",(($Y33/$Y$49)*AM33))</f>
        <v/>
      </c>
      <c r="AO33" s="317"/>
      <c r="AP33" s="234" t="str">
        <f>IF(OR($E33="-",$G33="-",$J33&lt;=0,$J$53="No"),"",VLOOKUP($E33,'Data source'!$B$15:$I$99,8,FALSE))</f>
        <v/>
      </c>
      <c r="AQ33" s="235" t="str">
        <f>IF(OR($E33="-",$G33="-",$J33="",$J$53="No"),"",(AP33/100*AN33)*($Y33/$Y$49))</f>
        <v/>
      </c>
      <c r="AR33" s="213"/>
      <c r="AS33" s="234" t="str">
        <f>IF(OR($E33="-",$G33="-",$J33&lt;=0,$J$53="No"),"",VLOOKUP($E33,'Data source'!$B$15:$M$99,12,FALSE))</f>
        <v/>
      </c>
      <c r="AT33" s="224" t="str">
        <f>IF(OR($E33="-",$G33="-",$J33&lt;=0,$J$53="No"),"",IF($AS33="Dry",$O33/$X33/10,IF($AS33="Wet",$O33/($AA33/100)*$X33/10,0)))</f>
        <v/>
      </c>
      <c r="AU33" s="224" t="str">
        <f>IF(OR($E33="-",$G33="-",$J33&lt;=0,$J$53="No"),"",AT33/Z33)</f>
        <v/>
      </c>
      <c r="AV33" s="611" t="str">
        <f>IF(OR($E33="-",$G33="-",$J33&lt;=0,$J$53="No"),"",($AT33*$J33)/100)</f>
        <v/>
      </c>
      <c r="AW33" s="610"/>
      <c r="AX33" s="335"/>
      <c r="AY33" s="234"/>
      <c r="AZ33" s="646" t="str">
        <f>IF(OR($E33="-",$G33="-",$J33&lt;=0,$J$53="No"),"",VLOOKUP($E33,'Data source'!$B$12:$M$99,9,FALSE))</f>
        <v/>
      </c>
      <c r="BA33" s="646"/>
      <c r="BB33" s="646" t="str">
        <f>IF(OR($E33="-",$G33="-",$J33&lt;=0,$J$53="No"),"",VLOOKUP($E33,'Data source'!$B$12:$M$99,10,FALSE))</f>
        <v/>
      </c>
      <c r="BC33" s="646"/>
      <c r="BD33" s="646" t="str">
        <f>IF(OR($E33="-",$G33="-",$J33&lt;=0,$J$53="No"),"",VLOOKUP($E33,'Data source'!$B$12:$M$99,11,FALSE))</f>
        <v/>
      </c>
      <c r="BE33" s="648"/>
      <c r="BF33" s="350"/>
      <c r="BG33" s="350"/>
      <c r="BH33" s="234">
        <f>IF(OR($E33="-",$G33="-",$J33&lt;=0,$J$53="No"),0,VLOOKUP($E33,'Data source'!$B$15:$T$99,13,FALSE))</f>
        <v>0</v>
      </c>
      <c r="BI33" s="224">
        <f>IF(OR($E33="-",$G33="-",$J33&lt;=0,$J$53="No"),0,VLOOKUP($E33,'Data source'!$B$15:$T$99,14,FALSE))</f>
        <v>0</v>
      </c>
      <c r="BJ33" s="224">
        <f>IF(OR($E33="-",$G33="-",$J33&lt;=0,$J$53="No"),0,VLOOKUP($E33,'Data source'!$B$15:$T$99,15,FALSE))</f>
        <v>0</v>
      </c>
      <c r="BK33" s="224">
        <f>IF(OR($E33="-",$G33="-",$J33&lt;=0,$J$53="No"),0,VLOOKUP($E33,'Data source'!$B$15:$T$99,16,FALSE))</f>
        <v>0</v>
      </c>
      <c r="BL33" s="224">
        <f>IF(OR($E33="-",$G33="-",$J33&lt;=0,$J$53="No"),0,VLOOKUP($E33,'Data source'!$B$15:$T$99,17,FALSE))</f>
        <v>0</v>
      </c>
      <c r="BM33" s="224">
        <f>IF(OR($E33="-",$G33="-",$J33&lt;=0,$J$53="No"),0,VLOOKUP($E33,'Data source'!$B$15:$T$99,18,FALSE))</f>
        <v>0</v>
      </c>
      <c r="BN33" s="224">
        <f>IF(OR($E33="-",$G33="-",$J33&lt;=0,$J$53="No"),0,VLOOKUP($E33,'Data source'!$B$15:$T$99,19,FALSE))</f>
        <v>0</v>
      </c>
      <c r="BO33" s="753">
        <f>IF(OR($E33="-",$G33="-",$J33&lt;=0,$J$53="No"),0,((43.498*$BH33)+(25.574*$BI33))-((28.206*$BJ33)+(62.375*$BK33)))*$Y33*10/1000</f>
        <v>0</v>
      </c>
      <c r="BP33" s="333"/>
      <c r="BQ33" s="213"/>
      <c r="BR33" s="213"/>
      <c r="BS33" s="213"/>
      <c r="BT33" s="317"/>
      <c r="BU33" s="317"/>
      <c r="BV33" s="193"/>
      <c r="BW33" s="275"/>
      <c r="BX33" s="7"/>
      <c r="BY33" s="129"/>
      <c r="BZ33" s="645">
        <f>IF($AZ33="",0,$AZ33*$AE33)</f>
        <v>0</v>
      </c>
      <c r="CA33" s="645">
        <f>IF($BB33="",0,$BB33*$AE33)</f>
        <v>0</v>
      </c>
      <c r="CB33" s="645">
        <f>IF($BD33="",0,$BD33*$AE33)</f>
        <v>0</v>
      </c>
      <c r="CC33" s="129"/>
      <c r="CD33" s="8"/>
      <c r="CE33" s="1760"/>
      <c r="CF33" s="1760"/>
      <c r="CG33" s="8"/>
      <c r="CH33" s="1760"/>
      <c r="CI33" s="1760"/>
      <c r="CJ33" s="7"/>
      <c r="CK33" s="1760"/>
      <c r="CL33" s="1760"/>
      <c r="CM33" s="7"/>
      <c r="CN33" s="7"/>
      <c r="CO33" s="7"/>
    </row>
    <row r="34" spans="1:93" ht="19.5" customHeight="1">
      <c r="A34" s="194"/>
      <c r="B34" s="1902"/>
      <c r="C34" s="1904"/>
      <c r="D34" s="65"/>
      <c r="E34" s="1904"/>
      <c r="F34" s="65"/>
      <c r="G34" s="1900"/>
      <c r="H34" s="1901"/>
      <c r="I34" s="66"/>
      <c r="J34" s="825"/>
      <c r="K34" s="784"/>
      <c r="L34" s="785"/>
      <c r="M34" s="786"/>
      <c r="N34" s="787"/>
      <c r="O34" s="843"/>
      <c r="P34" s="834"/>
      <c r="Q34" s="194"/>
      <c r="R34" s="659" t="str">
        <f>IF(OR($C33="-",$G33="-",$L34&lt;=0,$J$54="No"),"",$L34)</f>
        <v/>
      </c>
      <c r="S34" s="659"/>
      <c r="T34" s="194"/>
      <c r="U34" s="194"/>
      <c r="V34" s="194"/>
      <c r="W34" s="733" t="s">
        <v>318</v>
      </c>
      <c r="X34" s="239" t="str">
        <f>IF(OR($E33="-",$G33="-",$L34&lt;=0,$J$54="No",$AA$6="NO"),"",VLOOKUP($G33,'Data source'!$B$128:$C$137,2,FALSE))</f>
        <v/>
      </c>
      <c r="Y34" s="237">
        <f>IF(OR($E33="-",$G33="-",$L34&lt;=0,$J$54="No",$AA$6="NO"),0,$L34*$X34)</f>
        <v>0</v>
      </c>
      <c r="Z34" s="574" t="str">
        <f>IF(OR($E33="-",$G33="-",$L34&lt;=0,$J$54="No",$AA$6="NO"),"",$R$21)</f>
        <v/>
      </c>
      <c r="AA34" s="237" t="str">
        <f>IF(OR($E33="-",$G33="-",$L34&lt;=0,$J$54="No",$AA$6="NO"),"",VLOOKUP($E33,'Data source'!$B$12:$I$99,2,FALSE))</f>
        <v/>
      </c>
      <c r="AB34" s="238" t="str">
        <f>IF(OR($E33="-",$G33="-",$L34&lt;=0,$J$54="No",$AA$6="NO"),"",$Y34*$Z34)</f>
        <v/>
      </c>
      <c r="AC34" s="317"/>
      <c r="AD34" s="240" t="str">
        <f>IF(OR($E33="-",$G33="-",$L34&lt;=0,$J$54="No",$AA$6="NO"),"",VLOOKUP($E33,'Data source'!$B$12:$I$99,4,FALSE))</f>
        <v/>
      </c>
      <c r="AE34" s="241" t="str">
        <f>IF(OR($E33="-",$G33="-",$L34&lt;=0,$J$54="No",$AA$6="NO"),"",(($Y34/$Y$50)*$AD34))</f>
        <v/>
      </c>
      <c r="AF34" s="94"/>
      <c r="AG34" s="240" t="str">
        <f>IF(OR($E33="-",$G33="-",$L34&lt;=0,$J$54="No",$AA$6="NO"),"",VLOOKUP($E33,'Data source'!$B$12:$I$99,5,FALSE))</f>
        <v/>
      </c>
      <c r="AH34" s="241" t="str">
        <f>IF(OR($E33="-",$G33="-",$L34&lt;=0,$J$54="No",$AA$6="NO"),"",(($Y34/$Y$50)*AG34))</f>
        <v/>
      </c>
      <c r="AI34" s="105"/>
      <c r="AJ34" s="240" t="str">
        <f>IF(OR($E33="-",$G33="-",$L34&lt;=0,$J$54="No",$AA$6="NO"),"",VLOOKUP($E33,'Data source'!$B$12:$I$99,6,FALSE))</f>
        <v/>
      </c>
      <c r="AK34" s="241" t="str">
        <f>IF(OR($E33="-",$G33="-",$L34&lt;=0,$J$54="No",$AA$6="NO"),"",(($Y34/$Y$50)*AJ34))</f>
        <v/>
      </c>
      <c r="AL34" s="317"/>
      <c r="AM34" s="240" t="str">
        <f>IF(OR($E33="-",$G33="-",$L34&lt;=0,$J$54="No",$AA$6="NO"),"",VLOOKUP($E33,'Data source'!$B$12:$I$99,7,FALSE))</f>
        <v/>
      </c>
      <c r="AN34" s="241" t="str">
        <f>IF(OR($E33="-",$G33="-",$L34&lt;=0,$J$54="No",$AA$6="NO"),"",(($Y34/$Y$50)*AM34))</f>
        <v/>
      </c>
      <c r="AO34" s="317"/>
      <c r="AP34" s="240" t="str">
        <f>IF(OR($E33="-",$G33="-",$L34&lt;=0,$J$54="No",$AA$6="NO"),"",VLOOKUP($E33,'Data source'!$B$12:$I$99,8,FALSE))</f>
        <v/>
      </c>
      <c r="AQ34" s="241" t="str">
        <f>IF(OR($E33="-",$G33="-",$L34&lt;=0,$J$54="No",$AA$6="NO"),"",(AP34/100*AN34)*($Y34/$Y$50))</f>
        <v/>
      </c>
      <c r="AR34" s="213"/>
      <c r="AS34" s="609" t="str">
        <f>IF(OR($E33="-",$G33="-",$L34&lt;=0,$J$54="No",$AA$6="NO"),"",VLOOKUP($E33,'Data source'!$B$15:$M$99,12,FALSE))</f>
        <v/>
      </c>
      <c r="AT34" s="237" t="str">
        <f>IF(OR($E33="-",$G33="-",$L34&lt;=0,$J$54="No",$AA$6="NO"),"",IF($AS34="Dry",$O33/$X34/10,IF($AS34="Wet",$O33/($AA34/100)*$X34/10,0)))</f>
        <v/>
      </c>
      <c r="AU34" s="237" t="str">
        <f>IF(OR($E33="-",$G33="-",$L34&lt;=0,$J$54="No",$AA$6="NO"),"",IF(OR($H20="-",$Q34="-",$L34=0),"",AT34/Z34))</f>
        <v/>
      </c>
      <c r="AV34" s="612" t="str">
        <f>IF(OR($E33="-",$G33="-",$L34&lt;=0,$J$54="No",$AA$6="NO"),"",IF(OR($H20="-",$Q34="-",$L34=0),"",($AT34*$L34)/100))</f>
        <v/>
      </c>
      <c r="AW34" s="610"/>
      <c r="AX34" s="335"/>
      <c r="AY34" s="240"/>
      <c r="AZ34" s="647" t="str">
        <f>IF(OR($E33="-",$G33="-",$L34&lt;=0,$J$54="No",$AA$6="NO"),"",VLOOKUP($E33,'Data source'!$B$15:$M$99,9,FALSE))</f>
        <v/>
      </c>
      <c r="BA34" s="647"/>
      <c r="BB34" s="647" t="str">
        <f>IF(OR($E33="-",$G33="-",$L34&lt;=0,$J$54="No",$AA$6="NO"),"",VLOOKUP($E33,'Data source'!$B$15:$M$99,10,FALSE))</f>
        <v/>
      </c>
      <c r="BC34" s="647"/>
      <c r="BD34" s="647" t="str">
        <f>IF(OR($E33="-",$G33="-",$L34&lt;=0,$J$54="No",$AA$6="NO"),"",VLOOKUP($E33,'Data source'!$B$15:$M$99,11,FALSE))</f>
        <v/>
      </c>
      <c r="BE34" s="648"/>
      <c r="BF34" s="350"/>
      <c r="BG34" s="350"/>
      <c r="BH34" s="240">
        <f>IF(OR($E33="-",$G33="-",$L34&lt;=0,$J$54="No",$AA$6="NO"),0,VLOOKUP($E33,'Data source'!$B$15:$T$99,13,FALSE))</f>
        <v>0</v>
      </c>
      <c r="BI34" s="237">
        <f>IF(OR($E33="-",$G33="-",$L34&lt;=0,$J$54="No",$AA$6="NO"),0,VLOOKUP($E33,'Data source'!$B$15:$T$99,14,FALSE))</f>
        <v>0</v>
      </c>
      <c r="BJ34" s="237">
        <f>IF(OR($E33="-",$G33="-",$L34&lt;=0,$J$54="No",$AA$6="NO"),0,VLOOKUP($E33,'Data source'!$B$15:$T$99,15,FALSE))</f>
        <v>0</v>
      </c>
      <c r="BK34" s="237">
        <f>IF(OR($E33="-",$G33="-",$L34&lt;=0,$J$54="No",$AA$6="NO"),0,VLOOKUP($E33,'Data source'!$B$15:$T$99,16,FALSE))</f>
        <v>0</v>
      </c>
      <c r="BL34" s="237">
        <f>IF(OR($E33="-",$G33="-",$L34&lt;=0,$J$54="No",$AA$6="NO"),0,VLOOKUP($E33,'Data source'!$B$15:$T$99,17,FALSE))</f>
        <v>0</v>
      </c>
      <c r="BM34" s="237">
        <f>IF(OR($E33="-",$G33="-",$L34&lt;=0,$J$54="No",$AA$6="NO"),0,VLOOKUP($E33,'Data source'!$B$15:$T$99,18,FALSE))</f>
        <v>0</v>
      </c>
      <c r="BN34" s="237">
        <f>IF(OR($E33="-",$G33="-",$L34&lt;=0,$J$54="No",$AA$6="NO"),0,VLOOKUP($E33,'Data source'!$B$15:$T$99,19,FALSE))</f>
        <v>0</v>
      </c>
      <c r="BO34" s="754">
        <f>IF(OR($E33="-",$G33="-",$L34&lt;=0,$J$54="No",$AA$6="NO"),0,((43.498*$BH34)+(25.574*$BI34))-((28.206*$BJ34)+(62.375*$BK34)))*$Y34*10/1000</f>
        <v>0</v>
      </c>
      <c r="BP34" s="333"/>
      <c r="BQ34" s="213"/>
      <c r="BR34" s="213"/>
      <c r="BS34" s="213"/>
      <c r="BT34" s="317"/>
      <c r="BU34" s="317"/>
      <c r="BV34" s="193"/>
      <c r="BW34" s="275"/>
      <c r="BX34" s="7"/>
      <c r="BY34" s="129"/>
      <c r="BZ34" s="645">
        <f>IF($AZ34="",0,$AZ34*$AE34)</f>
        <v>0</v>
      </c>
      <c r="CA34" s="645">
        <f>IF($BB34="",0,$BB34*$AE34)</f>
        <v>0</v>
      </c>
      <c r="CB34" s="645">
        <f>IF($BD34="",0,$BD34*$AE34)</f>
        <v>0</v>
      </c>
      <c r="CC34" s="129"/>
      <c r="CD34" s="8"/>
      <c r="CE34" s="129"/>
      <c r="CF34" s="129"/>
      <c r="CG34" s="8"/>
      <c r="CH34" s="129"/>
      <c r="CI34" s="129"/>
      <c r="CJ34" s="7"/>
      <c r="CK34" s="129"/>
      <c r="CL34" s="129"/>
      <c r="CM34" s="7"/>
      <c r="CN34" s="7"/>
      <c r="CO34" s="7"/>
    </row>
    <row r="35" spans="1:93" ht="8.25" customHeight="1">
      <c r="A35" s="194"/>
      <c r="B35" s="836"/>
      <c r="C35" s="775"/>
      <c r="D35" s="66"/>
      <c r="E35" s="66"/>
      <c r="F35" s="66"/>
      <c r="G35" s="66"/>
      <c r="H35" s="66"/>
      <c r="I35" s="599"/>
      <c r="J35" s="599"/>
      <c r="K35" s="599"/>
      <c r="M35" s="601"/>
      <c r="N35" s="51"/>
      <c r="O35" s="594"/>
      <c r="P35" s="834"/>
      <c r="Q35" s="194"/>
      <c r="R35" s="659"/>
      <c r="S35" s="659"/>
      <c r="T35" s="194"/>
      <c r="U35" s="194"/>
      <c r="V35" s="654"/>
      <c r="W35" s="194"/>
      <c r="X35" s="522"/>
      <c r="Y35" s="324"/>
      <c r="Z35" s="324"/>
      <c r="AA35" s="324"/>
      <c r="AB35" s="307"/>
      <c r="AC35" s="317"/>
      <c r="AD35" s="317"/>
      <c r="AE35" s="317"/>
      <c r="AF35" s="317"/>
      <c r="AG35" s="317"/>
      <c r="AH35" s="317"/>
      <c r="AI35" s="317"/>
      <c r="AJ35" s="317"/>
      <c r="AK35" s="317"/>
      <c r="AL35" s="317"/>
      <c r="AM35" s="317"/>
      <c r="AN35" s="317"/>
      <c r="AO35" s="317"/>
      <c r="AP35" s="317"/>
      <c r="AQ35" s="317"/>
      <c r="AR35" s="317"/>
      <c r="AS35" s="317"/>
      <c r="AT35" s="317"/>
      <c r="AU35" s="317"/>
      <c r="AV35" s="317"/>
      <c r="AW35" s="193"/>
      <c r="AX35" s="335"/>
      <c r="AY35" s="324"/>
      <c r="AZ35" s="307"/>
      <c r="BA35" s="307"/>
      <c r="BB35" s="307"/>
      <c r="BC35" s="307"/>
      <c r="BD35" s="307"/>
      <c r="BE35" s="317"/>
      <c r="BF35" s="317"/>
      <c r="BG35" s="317"/>
      <c r="BH35" s="317"/>
      <c r="BI35" s="317"/>
      <c r="BJ35" s="317"/>
      <c r="BK35" s="317"/>
      <c r="BL35" s="317"/>
      <c r="BM35" s="317"/>
      <c r="BN35" s="317"/>
      <c r="BO35" s="756"/>
      <c r="BP35" s="317"/>
      <c r="BQ35" s="213"/>
      <c r="BR35" s="213"/>
      <c r="BS35" s="213"/>
      <c r="BT35" s="317"/>
      <c r="BU35" s="317"/>
      <c r="BV35" s="193"/>
      <c r="BW35" s="275"/>
      <c r="BX35" s="7"/>
      <c r="BY35" s="129"/>
      <c r="BZ35" s="645"/>
      <c r="CA35" s="645"/>
      <c r="CB35" s="645"/>
      <c r="CC35" s="129"/>
      <c r="CD35" s="8"/>
      <c r="CE35" s="129"/>
      <c r="CF35" s="129"/>
      <c r="CG35" s="8"/>
      <c r="CH35" s="129"/>
      <c r="CI35" s="129"/>
      <c r="CJ35" s="7"/>
      <c r="CK35" s="129"/>
      <c r="CL35" s="129"/>
      <c r="CM35" s="7"/>
      <c r="CN35" s="7"/>
      <c r="CO35" s="7"/>
    </row>
    <row r="36" spans="1:93" s="7" customFormat="1" ht="20.25" customHeight="1">
      <c r="A36" s="194"/>
      <c r="B36" s="1902"/>
      <c r="C36" s="1903" t="str">
        <f>IF('   ASK    '!W14="","",'   ASK    '!W14)</f>
        <v>Forages</v>
      </c>
      <c r="D36" s="65"/>
      <c r="E36" s="1903" t="str">
        <f>IF('   ASK    '!Y14="","",'   ASK    '!Y14)</f>
        <v>Chicory</v>
      </c>
      <c r="F36" s="65"/>
      <c r="G36" s="1898" t="s">
        <v>156</v>
      </c>
      <c r="H36" s="1899"/>
      <c r="I36" s="66"/>
      <c r="J36" s="826"/>
      <c r="K36" s="779"/>
      <c r="L36" s="779"/>
      <c r="M36" s="779"/>
      <c r="N36" s="781"/>
      <c r="O36" s="842"/>
      <c r="P36" s="834"/>
      <c r="Q36" s="194"/>
      <c r="R36" s="659" t="str">
        <f>IF(OR($C36="-",$G36="-",$J36&lt;=0,$J$53="No"),"",$J36)</f>
        <v/>
      </c>
      <c r="S36" s="659">
        <f>IF(OR($C36="-",$G36="-",$J$53="No"),0,1)</f>
        <v>0</v>
      </c>
      <c r="T36" s="194"/>
      <c r="U36" s="194"/>
      <c r="V36" s="655" t="str">
        <f>C36</f>
        <v>Forages</v>
      </c>
      <c r="W36" s="733" t="s">
        <v>317</v>
      </c>
      <c r="X36" s="232" t="str">
        <f>IF(OR($E36="-",$G36="-",$J36&lt;=0,$J$53="No"),"",VLOOKUP($G36,'Data source'!$B$128:$C$137,2,FALSE))</f>
        <v/>
      </c>
      <c r="Y36" s="211">
        <f>IF(OR($E36="-",$G36="-",$J36&lt;=0,$J$53="No"),0,J36*X36)</f>
        <v>0</v>
      </c>
      <c r="Z36" s="573" t="str">
        <f>IF(OR($E36="-",$G36="-",$J36&lt;=0,$J$53="No"),"",$R$21)</f>
        <v/>
      </c>
      <c r="AA36" s="224" t="str">
        <f>IF(OR($E36="-",$G36="-",$J36&lt;=0,$J$53="No"),"",VLOOKUP($E36,'Data source'!$B$15:$I$99,2,FALSE))</f>
        <v/>
      </c>
      <c r="AB36" s="233" t="str">
        <f>IF(OR($E36="-",$G36="-",$J36&lt;=0,$J$53="No"),"",Y36*Z36)</f>
        <v/>
      </c>
      <c r="AC36" s="317"/>
      <c r="AD36" s="234" t="str">
        <f>IF(OR($E36="-",$G36="-",$J36&lt;=0,$J$53="No"),"",VLOOKUP($E36,'Data source'!$B$15:$I$99,4,FALSE))</f>
        <v/>
      </c>
      <c r="AE36" s="235" t="str">
        <f>IF(OR($E36="-",$G36="-",$J36&lt;=0,$J$53="No"),"",(($Y36/$Y$49)*AD36))</f>
        <v/>
      </c>
      <c r="AF36" s="94"/>
      <c r="AG36" s="234" t="str">
        <f>IF(OR($E36="-",$G36="-",$J36&lt;=0,$J$53="No"),"",VLOOKUP($E36,'Data source'!$B$15:$I$99,5,FALSE))</f>
        <v/>
      </c>
      <c r="AH36" s="235" t="str">
        <f>IF(OR($E36="-",$G36="-",$J36&lt;=0,$J$53="No"),"",(($Y36/$Y$49)*AG36))</f>
        <v/>
      </c>
      <c r="AI36" s="105"/>
      <c r="AJ36" s="234" t="str">
        <f>IF(OR($E36="-",$G36="-",$J36&lt;=0,$J$53="No"),"",VLOOKUP($E36,'Data source'!$B$15:$I$99,6,FALSE))</f>
        <v/>
      </c>
      <c r="AK36" s="235" t="str">
        <f>IF(OR($E36="-",$G36="-",$J36&lt;=0,$J$53="No"),"",(($Y36/$Y$49)*AJ36))</f>
        <v/>
      </c>
      <c r="AL36" s="317"/>
      <c r="AM36" s="234" t="str">
        <f>IF(OR($E36="-",$G36="-",$J36&lt;=0,$J$53="No"),"",VLOOKUP($E36,'Data source'!$B$15:$I$99,7,FALSE))</f>
        <v/>
      </c>
      <c r="AN36" s="235" t="str">
        <f>IF(OR($E36="-",$G36="-",$J36&lt;=0,$J$53="No"),"",(($Y36/$Y$49)*AM36))</f>
        <v/>
      </c>
      <c r="AO36" s="317"/>
      <c r="AP36" s="234" t="str">
        <f>IF(OR($E36="-",$G36="-",$J36&lt;=0,$J$53="No"),"",VLOOKUP($E36,'Data source'!$B$15:$I$99,8,FALSE))</f>
        <v/>
      </c>
      <c r="AQ36" s="235" t="str">
        <f>IF(OR($E36="-",$G36="-",$J36="",$J$53="No"),"",(AP36/100*AN36)*($Y36/$Y$49))</f>
        <v/>
      </c>
      <c r="AR36" s="213"/>
      <c r="AS36" s="234" t="str">
        <f>IF(OR($E36="-",$G36="-",$J36&lt;=0,$J$53="No"),"",VLOOKUP($E36,'Data source'!$B$15:$M$99,12,FALSE))</f>
        <v/>
      </c>
      <c r="AT36" s="224" t="str">
        <f>IF(OR($E36="-",$G36="-",$J36&lt;=0,$J$53="No"),"",IF($AS36="Dry",$O36/$X36/10,IF($AS36="Wet",$O36/($AA36/100)*$X36/10,0)))</f>
        <v/>
      </c>
      <c r="AU36" s="224" t="str">
        <f>IF(OR($E36="-",$G36="-",$J36&lt;=0,$J$53="No"),"",AT36/Z36)</f>
        <v/>
      </c>
      <c r="AV36" s="611" t="str">
        <f>IF(OR($E36="-",$G36="-",$J36&lt;=0,$J$53="No"),"",($AT36*$J36)/100)</f>
        <v/>
      </c>
      <c r="AW36" s="610"/>
      <c r="AX36" s="335"/>
      <c r="AY36" s="234"/>
      <c r="AZ36" s="646" t="str">
        <f>IF(OR($E36="-",$G36="-",$J36&lt;=0,$J$53="No"),"",VLOOKUP($E36,'Data source'!$B$12:$M$99,9,FALSE))</f>
        <v/>
      </c>
      <c r="BA36" s="646"/>
      <c r="BB36" s="646" t="str">
        <f>IF(OR($E36="-",$G36="-",$J36&lt;=0,$J$53="No"),"",VLOOKUP($E36,'Data source'!$B$12:$M$99,10,FALSE))</f>
        <v/>
      </c>
      <c r="BC36" s="646"/>
      <c r="BD36" s="646" t="str">
        <f>IF(OR($E36="-",$G36="-",$J36&lt;=0,$J$53="No"),"",VLOOKUP($E36,'Data source'!$B$12:$M$99,11,FALSE))</f>
        <v/>
      </c>
      <c r="BE36" s="648"/>
      <c r="BF36" s="350"/>
      <c r="BG36" s="350"/>
      <c r="BH36" s="234">
        <f>IF(OR($E36="-",$G36="-",$J36&lt;=0,$J$53="No"),0,VLOOKUP($E36,'Data source'!$B$15:$T$99,13,FALSE))</f>
        <v>0</v>
      </c>
      <c r="BI36" s="224">
        <f>IF(OR($E36="-",$G36="-",$J36&lt;=0,$J$53="No"),0,VLOOKUP($E36,'Data source'!$B$15:$T$99,14,FALSE))</f>
        <v>0</v>
      </c>
      <c r="BJ36" s="224">
        <f>IF(OR($E36="-",$G36="-",$J36&lt;=0,$J$53="No"),0,VLOOKUP($E36,'Data source'!$B$15:$T$99,15,FALSE))</f>
        <v>0</v>
      </c>
      <c r="BK36" s="224">
        <f>IF(OR($E36="-",$G36="-",$J36&lt;=0,$J$53="No"),0,VLOOKUP($E36,'Data source'!$B$15:$T$99,16,FALSE))</f>
        <v>0</v>
      </c>
      <c r="BL36" s="224">
        <f>IF(OR($E36="-",$G36="-",$J36&lt;=0,$J$53="No"),0,VLOOKUP($E36,'Data source'!$B$15:$T$99,17,FALSE))</f>
        <v>0</v>
      </c>
      <c r="BM36" s="224">
        <f>IF(OR($E36="-",$G36="-",$J36&lt;=0,$J$53="No"),0,VLOOKUP($E36,'Data source'!$B$15:$T$99,18,FALSE))</f>
        <v>0</v>
      </c>
      <c r="BN36" s="224">
        <f>IF(OR($E36="-",$G36="-",$J36&lt;=0,$J$53="No"),0,VLOOKUP($E36,'Data source'!$B$15:$T$99,19,FALSE))</f>
        <v>0</v>
      </c>
      <c r="BO36" s="753">
        <f>IF(OR($E36="-",$G36="-",$J36&lt;=0,$J$53="No"),0,((43.498*$BH36)+(25.574*$BI36))-((28.206*$BJ36)+(62.375*$BK36)))*$Y36*10/1000</f>
        <v>0</v>
      </c>
      <c r="BP36" s="333"/>
      <c r="BQ36" s="213"/>
      <c r="BR36" s="213"/>
      <c r="BS36" s="213"/>
      <c r="BT36" s="317"/>
      <c r="BU36" s="317"/>
      <c r="BV36" s="207"/>
      <c r="BW36" s="207"/>
      <c r="BY36" s="30"/>
      <c r="BZ36" s="645">
        <f>IF($AZ36="",0,$AZ36*$AE36)</f>
        <v>0</v>
      </c>
      <c r="CA36" s="645">
        <f>IF($BB36="",0,$BB36*$AE36)</f>
        <v>0</v>
      </c>
      <c r="CB36" s="645">
        <f>IF($BD36="",0,$BD36*$AE36)</f>
        <v>0</v>
      </c>
      <c r="CC36" s="51"/>
      <c r="CD36" s="8"/>
      <c r="CE36" s="30"/>
      <c r="CF36" s="51"/>
      <c r="CG36" s="8"/>
      <c r="CH36" s="30"/>
      <c r="CI36" s="51"/>
      <c r="CK36" s="30"/>
      <c r="CL36" s="51"/>
    </row>
    <row r="37" spans="1:93" s="7" customFormat="1" ht="19.5" customHeight="1">
      <c r="A37" s="194"/>
      <c r="B37" s="1902"/>
      <c r="C37" s="1904"/>
      <c r="D37" s="820"/>
      <c r="E37" s="1904"/>
      <c r="F37" s="830"/>
      <c r="G37" s="1900"/>
      <c r="H37" s="1901"/>
      <c r="I37" s="66"/>
      <c r="J37" s="827"/>
      <c r="K37" s="828"/>
      <c r="L37" s="785"/>
      <c r="M37" s="786"/>
      <c r="N37" s="787"/>
      <c r="O37" s="844"/>
      <c r="P37" s="834"/>
      <c r="Q37" s="194"/>
      <c r="R37" s="659" t="str">
        <f>IF(OR($C36="-",$G36="-",$L37&lt;=0,$J$54="No"),"",$L37)</f>
        <v/>
      </c>
      <c r="S37" s="659"/>
      <c r="T37" s="194"/>
      <c r="U37" s="194"/>
      <c r="V37" s="194"/>
      <c r="W37" s="733" t="s">
        <v>318</v>
      </c>
      <c r="X37" s="239" t="str">
        <f>IF(OR($E36="-",$G36="-",$L37&lt;=0,$J$54="No",$AA$6="NO"),"",VLOOKUP($G36,'Data source'!$B$128:$C$137,2,FALSE))</f>
        <v/>
      </c>
      <c r="Y37" s="237">
        <f>IF(OR($E36="-",$G36="-",$L37&lt;=0,$J$54="No",$AA$6="NO"),0,$L37*$X37)</f>
        <v>0</v>
      </c>
      <c r="Z37" s="574" t="str">
        <f>IF(OR($E36="-",$G36="-",$L37&lt;=0,$J$54="No",$AA$6="NO"),"",$R$21)</f>
        <v/>
      </c>
      <c r="AA37" s="237" t="str">
        <f>IF(OR($E36="-",$G36="-",$L37&lt;=0,$J$54="No",$AA$6="NO"),"",VLOOKUP($E36,'Data source'!$B$12:$I$99,2,FALSE))</f>
        <v/>
      </c>
      <c r="AB37" s="238" t="str">
        <f>IF(OR($E36="-",$G36="-",$L37&lt;=0,$J$54="No",$AA$6="NO"),"",$Y37*$Z37)</f>
        <v/>
      </c>
      <c r="AC37" s="317"/>
      <c r="AD37" s="240" t="str">
        <f>IF(OR($E36="-",$G36="-",$L37&lt;=0,$J$54="No",$AA$6="NO"),"",VLOOKUP($E36,'Data source'!$B$12:$I$99,4,FALSE))</f>
        <v/>
      </c>
      <c r="AE37" s="241" t="str">
        <f>IF(OR($E36="-",$G36="-",$L37&lt;=0,$J$54="No",$AA$6="NO"),"",(($Y37/$Y$50)*$AD37))</f>
        <v/>
      </c>
      <c r="AF37" s="94"/>
      <c r="AG37" s="240" t="str">
        <f>IF(OR($E36="-",$G36="-",$L37&lt;=0,$J$54="No",$AA$6="NO"),"",VLOOKUP($E36,'Data source'!$B$12:$I$99,5,FALSE))</f>
        <v/>
      </c>
      <c r="AH37" s="241" t="str">
        <f>IF(OR($E36="-",$G36="-",$L37&lt;=0,$J$54="No",$AA$6="NO"),"",(($Y37/$Y$50)*AG37))</f>
        <v/>
      </c>
      <c r="AI37" s="105"/>
      <c r="AJ37" s="240" t="str">
        <f>IF(OR($E36="-",$G36="-",$L37&lt;=0,$J$54="No",$AA$6="NO"),"",VLOOKUP($E36,'Data source'!$B$12:$I$99,6,FALSE))</f>
        <v/>
      </c>
      <c r="AK37" s="241" t="str">
        <f>IF(OR($E36="-",$G36="-",$L37&lt;=0,$J$54="No",$AA$6="NO"),"",(($Y37/$Y$50)*AJ37))</f>
        <v/>
      </c>
      <c r="AL37" s="317"/>
      <c r="AM37" s="240" t="str">
        <f>IF(OR($E36="-",$G36="-",$L37&lt;=0,$J$54="No",$AA$6="NO"),"",VLOOKUP($E36,'Data source'!$B$12:$I$99,7,FALSE))</f>
        <v/>
      </c>
      <c r="AN37" s="241" t="str">
        <f>IF(OR($E36="-",$G36="-",$L37&lt;=0,$J$54="No",$AA$6="NO"),"",(($Y37/$Y$50)*AM37))</f>
        <v/>
      </c>
      <c r="AO37" s="317"/>
      <c r="AP37" s="240" t="str">
        <f>IF(OR($E36="-",$G36="-",$L37&lt;=0,$J$54="No",$AA$6="NO"),"",VLOOKUP($E36,'Data source'!$B$12:$I$99,8,FALSE))</f>
        <v/>
      </c>
      <c r="AQ37" s="241" t="str">
        <f>IF(OR($E36="-",$G36="-",$L37&lt;=0,$J$54="No",$AA$6="NO"),"",(AP37/100*AN37)*($Y37/$Y$50))</f>
        <v/>
      </c>
      <c r="AR37" s="213"/>
      <c r="AS37" s="609" t="str">
        <f>IF(OR($E36="-",$G36="-",$L37&lt;=0,$J$54="No",$AA$6="NO"),"",VLOOKUP($E36,'Data source'!$B$15:$M$99,12,FALSE))</f>
        <v/>
      </c>
      <c r="AT37" s="237" t="str">
        <f>IF(OR($E36="-",$G36="-",$L37&lt;=0,$J$54="No",$AA$6="NO"),"",IF($AS37="Dry",$O36/$X37/10,IF($AS37="Wet",$O36/($AA37/100)*$X37/10,0)))</f>
        <v/>
      </c>
      <c r="AU37" s="237" t="str">
        <f>IF(OR($E36="-",$G36="-",$L37&lt;=0,$J$54="No",$AA$6="NO"),"",IF(OR($H23="-",$Q37="-",$L37=0),"",AT37/Z37))</f>
        <v/>
      </c>
      <c r="AV37" s="612" t="str">
        <f>IF(OR($E36="-",$G36="-",$L37&lt;=0,$J$54="No",$AA$6="NO"),"",IF(OR($H23="-",$Q37="-",$L37=0),"",($AT37*$L37)/100))</f>
        <v/>
      </c>
      <c r="AW37" s="610"/>
      <c r="AX37" s="335"/>
      <c r="AY37" s="240"/>
      <c r="AZ37" s="647" t="str">
        <f>IF(OR($E36="-",$G36="-",$L37&lt;=0,$J$54="No",$AA$6="NO"),"",VLOOKUP($E36,'Data source'!$B$15:$M$99,9,FALSE))</f>
        <v/>
      </c>
      <c r="BA37" s="647"/>
      <c r="BB37" s="647" t="str">
        <f>IF(OR($E36="-",$G36="-",$L37&lt;=0,$J$54="No",$AA$6="NO"),"",VLOOKUP($E36,'Data source'!$B$15:$M$99,10,FALSE))</f>
        <v/>
      </c>
      <c r="BC37" s="647"/>
      <c r="BD37" s="647" t="str">
        <f>IF(OR($E36="-",$G36="-",$L37&lt;=0,$J$54="No",$AA$6="NO"),"",VLOOKUP($E36,'Data source'!$B$15:$M$99,11,FALSE))</f>
        <v/>
      </c>
      <c r="BE37" s="648"/>
      <c r="BF37" s="350"/>
      <c r="BG37" s="350"/>
      <c r="BH37" s="240">
        <f>IF(OR($E36="-",$G36="-",$L37&lt;=0,$J$54="No",$AA$6="NO"),0,VLOOKUP($E36,'Data source'!$B$15:$T$99,13,FALSE))</f>
        <v>0</v>
      </c>
      <c r="BI37" s="237">
        <f>IF(OR($E36="-",$G36="-",$L37&lt;=0,$J$54="No",$AA$6="NO"),0,VLOOKUP($E36,'Data source'!$B$15:$T$99,14,FALSE))</f>
        <v>0</v>
      </c>
      <c r="BJ37" s="237">
        <f>IF(OR($E36="-",$G36="-",$L37&lt;=0,$J$54="No",$AA$6="NO"),0,VLOOKUP($E36,'Data source'!$B$15:$T$99,15,FALSE))</f>
        <v>0</v>
      </c>
      <c r="BK37" s="237">
        <f>IF(OR($E36="-",$G36="-",$L37&lt;=0,$J$54="No",$AA$6="NO"),0,VLOOKUP($E36,'Data source'!$B$15:$T$99,16,FALSE))</f>
        <v>0</v>
      </c>
      <c r="BL37" s="237">
        <f>IF(OR($E36="-",$G36="-",$L37&lt;=0,$J$54="No",$AA$6="NO"),0,VLOOKUP($E36,'Data source'!$B$15:$T$99,17,FALSE))</f>
        <v>0</v>
      </c>
      <c r="BM37" s="237">
        <f>IF(OR($E36="-",$G36="-",$L37&lt;=0,$J$54="No",$AA$6="NO"),0,VLOOKUP($E36,'Data source'!$B$15:$T$99,18,FALSE))</f>
        <v>0</v>
      </c>
      <c r="BN37" s="237">
        <f>IF(OR($E36="-",$G36="-",$L37&lt;=0,$J$54="No",$AA$6="NO"),0,VLOOKUP($E36,'Data source'!$B$15:$T$99,19,FALSE))</f>
        <v>0</v>
      </c>
      <c r="BO37" s="754">
        <f>IF(OR($E36="-",$G36="-",$L37&lt;=0,$J$54="No",$AA$6="NO"),0,((43.498*$BH37)+(25.574*$BI37))-((28.206*$BJ37)+(62.375*$BK37)))*$Y37*10/1000</f>
        <v>0</v>
      </c>
      <c r="BP37" s="333"/>
      <c r="BQ37" s="213"/>
      <c r="BR37" s="213"/>
      <c r="BS37" s="213"/>
      <c r="BT37" s="317"/>
      <c r="BU37" s="317"/>
      <c r="BV37" s="207"/>
      <c r="BW37" s="207"/>
      <c r="BY37" s="30"/>
      <c r="BZ37" s="645">
        <f>IF($AZ37="",0,$AZ37*$AE37)</f>
        <v>0</v>
      </c>
      <c r="CA37" s="645">
        <f>IF($BB37="",0,$BB37*$AE37)</f>
        <v>0</v>
      </c>
      <c r="CB37" s="645">
        <f>IF($BD37="",0,$BD37*$AE37)</f>
        <v>0</v>
      </c>
      <c r="CC37" s="51"/>
      <c r="CD37" s="8"/>
      <c r="CE37" s="30"/>
      <c r="CF37" s="51"/>
      <c r="CG37" s="8"/>
      <c r="CH37" s="30"/>
      <c r="CI37" s="51"/>
      <c r="CK37" s="30"/>
      <c r="CL37" s="51"/>
    </row>
    <row r="38" spans="1:93" s="7" customFormat="1" ht="9" customHeight="1">
      <c r="A38" s="194"/>
      <c r="B38" s="837"/>
      <c r="C38" s="594"/>
      <c r="D38" s="66"/>
      <c r="E38" s="66"/>
      <c r="F38" s="66"/>
      <c r="G38" s="66"/>
      <c r="H38" s="66"/>
      <c r="I38" s="599"/>
      <c r="M38" s="602"/>
      <c r="N38" s="51"/>
      <c r="O38" s="594"/>
      <c r="P38" s="834"/>
      <c r="Q38" s="194"/>
      <c r="R38" s="659"/>
      <c r="S38" s="659"/>
      <c r="T38" s="194"/>
      <c r="U38" s="194"/>
      <c r="V38" s="194"/>
      <c r="W38" s="194"/>
      <c r="X38" s="522"/>
      <c r="Y38" s="324"/>
      <c r="Z38" s="324"/>
      <c r="AA38" s="324"/>
      <c r="AB38" s="307"/>
      <c r="AC38" s="317"/>
      <c r="AD38" s="317"/>
      <c r="AE38" s="317"/>
      <c r="AF38" s="317"/>
      <c r="AG38" s="317"/>
      <c r="AH38" s="317"/>
      <c r="AI38" s="317"/>
      <c r="AJ38" s="317"/>
      <c r="AK38" s="317"/>
      <c r="AL38" s="317"/>
      <c r="AM38" s="317"/>
      <c r="AN38" s="317"/>
      <c r="AO38" s="317"/>
      <c r="AP38" s="317"/>
      <c r="AQ38" s="317"/>
      <c r="AR38" s="317"/>
      <c r="AS38" s="317"/>
      <c r="AT38" s="317"/>
      <c r="AU38" s="317"/>
      <c r="AV38" s="317"/>
      <c r="AW38" s="193"/>
      <c r="AX38" s="335"/>
      <c r="AY38" s="324"/>
      <c r="AZ38" s="307"/>
      <c r="BA38" s="307"/>
      <c r="BB38" s="307"/>
      <c r="BC38" s="307"/>
      <c r="BD38" s="307"/>
      <c r="BE38" s="331"/>
      <c r="BF38" s="331"/>
      <c r="BG38" s="331"/>
      <c r="BH38" s="331"/>
      <c r="BI38" s="331"/>
      <c r="BJ38" s="331"/>
      <c r="BK38" s="331"/>
      <c r="BL38" s="331"/>
      <c r="BM38" s="331"/>
      <c r="BN38" s="331"/>
      <c r="BO38" s="755"/>
      <c r="BP38" s="331"/>
      <c r="BQ38" s="331"/>
      <c r="BR38" s="213"/>
      <c r="BS38" s="213"/>
      <c r="BT38" s="317"/>
      <c r="BU38" s="317"/>
      <c r="BV38" s="207"/>
      <c r="BW38" s="207"/>
      <c r="BY38" s="30"/>
      <c r="BZ38" s="645"/>
      <c r="CA38" s="645"/>
      <c r="CB38" s="645"/>
      <c r="CC38" s="51"/>
      <c r="CD38" s="8"/>
      <c r="CE38" s="30"/>
      <c r="CF38" s="51"/>
      <c r="CG38" s="8"/>
      <c r="CH38" s="30"/>
      <c r="CI38" s="51"/>
      <c r="CK38" s="30"/>
      <c r="CL38" s="51"/>
    </row>
    <row r="39" spans="1:93" ht="19.5" customHeight="1">
      <c r="A39" s="194"/>
      <c r="B39" s="1902"/>
      <c r="C39" s="1903" t="str">
        <f>IF('   ASK    '!W17="","",'   ASK    '!W17)</f>
        <v>By_products</v>
      </c>
      <c r="D39" s="65"/>
      <c r="E39" s="1903" t="str">
        <f>IF('   ASK    '!Y17="","",'   ASK    '!Y17)</f>
        <v>PKE</v>
      </c>
      <c r="F39" s="830"/>
      <c r="G39" s="1898" t="s">
        <v>156</v>
      </c>
      <c r="H39" s="1899"/>
      <c r="I39" s="66"/>
      <c r="J39" s="826"/>
      <c r="K39" s="779"/>
      <c r="L39" s="779"/>
      <c r="M39" s="780"/>
      <c r="N39" s="781"/>
      <c r="O39" s="842"/>
      <c r="P39" s="834"/>
      <c r="Q39" s="194"/>
      <c r="R39" s="659" t="str">
        <f>IF(OR($C39="-",$G39="-",$J39&lt;=0,$J$53="No"),"",$J39)</f>
        <v/>
      </c>
      <c r="S39" s="659">
        <f>IF(OR($C39="-",$G39="-",$J$53="No"),0,1)</f>
        <v>0</v>
      </c>
      <c r="T39" s="194"/>
      <c r="U39" s="194"/>
      <c r="V39" s="655" t="str">
        <f>C39</f>
        <v>By_products</v>
      </c>
      <c r="W39" s="733" t="s">
        <v>317</v>
      </c>
      <c r="X39" s="232" t="str">
        <f>IF(OR($E39="-",$G39="-",$J39&lt;=0,$J$53="No"),"",VLOOKUP($G39,'Data source'!$B$128:$C$137,2,FALSE))</f>
        <v/>
      </c>
      <c r="Y39" s="211">
        <f>IF(OR($E39="-",$G39="-",$J39&lt;=0,$J$53="No"),0,J39*X39)</f>
        <v>0</v>
      </c>
      <c r="Z39" s="573" t="str">
        <f>IF(OR($E39="-",$G39="-",$J39&lt;=0,$J$53="No"),"",$R$21)</f>
        <v/>
      </c>
      <c r="AA39" s="224" t="str">
        <f>IF(OR($E39="-",$G39="-",$J39&lt;=0,$J$53="No"),"",VLOOKUP($E39,'Data source'!$B$15:$I$99,2,FALSE))</f>
        <v/>
      </c>
      <c r="AB39" s="233" t="str">
        <f>IF(OR($E39="-",$G39="-",$J39&lt;=0,$J$53="No"),"",Y39*Z39)</f>
        <v/>
      </c>
      <c r="AC39" s="317"/>
      <c r="AD39" s="234" t="str">
        <f>IF(OR($E39="-",$G39="-",$J39&lt;=0,$J$53="No"),"",VLOOKUP($E39,'Data source'!$B$15:$I$99,4,FALSE))</f>
        <v/>
      </c>
      <c r="AE39" s="235" t="str">
        <f>IF(OR($E39="-",$G39="-",$J39&lt;=0,$J$53="No"),"",(($Y39/$Y$49)*AD39))</f>
        <v/>
      </c>
      <c r="AF39" s="94"/>
      <c r="AG39" s="234" t="str">
        <f>IF(OR($E39="-",$G39="-",$J39&lt;=0,$J$53="No"),"",VLOOKUP($E39,'Data source'!$B$15:$I$99,5,FALSE))</f>
        <v/>
      </c>
      <c r="AH39" s="235" t="str">
        <f>IF(OR($E39="-",$G39="-",$J39&lt;=0,$J$53="No"),"",(($Y39/$Y$49)*AG39))</f>
        <v/>
      </c>
      <c r="AI39" s="105"/>
      <c r="AJ39" s="234" t="str">
        <f>IF(OR($E39="-",$G39="-",$J39&lt;=0,$J$53="No"),"",VLOOKUP($E39,'Data source'!$B$15:$I$99,6,FALSE))</f>
        <v/>
      </c>
      <c r="AK39" s="235" t="str">
        <f>IF(OR($E39="-",$G39="-",$J39&lt;=0,$J$53="No"),"",(($Y39/$Y$49)*AJ39))</f>
        <v/>
      </c>
      <c r="AL39" s="317"/>
      <c r="AM39" s="234" t="str">
        <f>IF(OR($E39="-",$G39="-",$J39&lt;=0,$J$53="No"),"",VLOOKUP($E39,'Data source'!$B$15:$I$99,7,FALSE))</f>
        <v/>
      </c>
      <c r="AN39" s="235" t="str">
        <f>IF(OR($E39="-",$G39="-",$J39&lt;=0,$J$53="No"),"",(($Y39/$Y$49)*AM39))</f>
        <v/>
      </c>
      <c r="AO39" s="317"/>
      <c r="AP39" s="234" t="str">
        <f>IF(OR($E39="-",$G39="-",$J39&lt;=0,$J$53="No"),"",VLOOKUP($E39,'Data source'!$B$15:$I$99,8,FALSE))</f>
        <v/>
      </c>
      <c r="AQ39" s="235" t="str">
        <f>IF(OR($E39="-",$G39="-",$J39="",$J$53="No"),"",(AP39/100*AN39)*($Y39/$Y$49))</f>
        <v/>
      </c>
      <c r="AR39" s="213"/>
      <c r="AS39" s="234" t="str">
        <f>IF(OR($E39="-",$G39="-",$J39&lt;=0,$J$53="No"),"",VLOOKUP($E39,'Data source'!$B$15:$M$99,12,FALSE))</f>
        <v/>
      </c>
      <c r="AT39" s="224" t="str">
        <f>IF(OR($E39="-",$G39="-",$J39&lt;=0,$J$53="No"),"",IF($AS39="Dry",$O39/$X39/10,IF($AS39="Wet",$O39/($AA39/100)*$X39/10,0)))</f>
        <v/>
      </c>
      <c r="AU39" s="224" t="str">
        <f>IF(OR($E39="-",$G39="-",$J39&lt;=0,$J$53="No"),"",AT39/Z39)</f>
        <v/>
      </c>
      <c r="AV39" s="611" t="str">
        <f>IF(OR($E39="-",$G39="-",$J39&lt;=0,$J$53="No"),"",($AT39*$J39)/100)</f>
        <v/>
      </c>
      <c r="AW39" s="610"/>
      <c r="AX39" s="335"/>
      <c r="AY39" s="234"/>
      <c r="AZ39" s="646" t="str">
        <f>IF(OR($E39="-",$G39="-",$J39&lt;=0,$J$53="No"),"",VLOOKUP($E39,'Data source'!$B$12:$M$99,9,FALSE))</f>
        <v/>
      </c>
      <c r="BA39" s="646"/>
      <c r="BB39" s="646" t="str">
        <f>IF(OR($E39="-",$G39="-",$J39&lt;=0,$J$53="No"),"",VLOOKUP($E39,'Data source'!$B$12:$M$99,10,FALSE))</f>
        <v/>
      </c>
      <c r="BC39" s="646"/>
      <c r="BD39" s="646" t="str">
        <f>IF(OR($E39="-",$G39="-",$J39&lt;=0,$J$53="No"),"",VLOOKUP($E39,'Data source'!$B$12:$M$99,11,FALSE))</f>
        <v/>
      </c>
      <c r="BE39" s="648"/>
      <c r="BF39" s="350"/>
      <c r="BG39" s="350"/>
      <c r="BH39" s="234">
        <f>IF(OR($E39="-",$G39="-",$J39&lt;=0,$J$53="No"),0,VLOOKUP($E39,'Data source'!$B$15:$T$99,13,FALSE))</f>
        <v>0</v>
      </c>
      <c r="BI39" s="224">
        <f>IF(OR($E39="-",$G39="-",$J39&lt;=0,$J$53="No"),0,VLOOKUP($E39,'Data source'!$B$15:$T$99,14,FALSE))</f>
        <v>0</v>
      </c>
      <c r="BJ39" s="224">
        <f>IF(OR($E39="-",$G39="-",$J39&lt;=0,$J$53="No"),0,VLOOKUP($E39,'Data source'!$B$15:$T$99,15,FALSE))</f>
        <v>0</v>
      </c>
      <c r="BK39" s="224">
        <f>IF(OR($E39="-",$G39="-",$J39&lt;=0,$J$53="No"),0,VLOOKUP($E39,'Data source'!$B$15:$T$99,16,FALSE))</f>
        <v>0</v>
      </c>
      <c r="BL39" s="224">
        <f>IF(OR($E39="-",$G39="-",$J39&lt;=0,$J$53="No"),0,VLOOKUP($E39,'Data source'!$B$15:$T$99,17,FALSE))</f>
        <v>0</v>
      </c>
      <c r="BM39" s="224">
        <f>IF(OR($E39="-",$G39="-",$J39&lt;=0,$J$53="No"),0,VLOOKUP($E39,'Data source'!$B$15:$T$99,18,FALSE))</f>
        <v>0</v>
      </c>
      <c r="BN39" s="224">
        <f>IF(OR($E39="-",$G39="-",$J39&lt;=0,$J$53="No"),0,VLOOKUP($E39,'Data source'!$B$15:$T$99,19,FALSE))</f>
        <v>0</v>
      </c>
      <c r="BO39" s="753">
        <f>IF(OR($E39="-",$G39="-",$J39&lt;=0,$J$53="No"),0,((43.498*$BH39)+(25.574*$BI39))-((28.206*$BJ39)+(62.375*$BK39)))*$Y39*10/1000</f>
        <v>0</v>
      </c>
      <c r="BP39" s="333"/>
      <c r="BQ39" s="213"/>
      <c r="BR39" s="213"/>
      <c r="BS39" s="213"/>
      <c r="BT39" s="317"/>
      <c r="BU39" s="317"/>
      <c r="BV39" s="353"/>
      <c r="BW39" s="204"/>
      <c r="BX39" s="7"/>
      <c r="BY39" s="13"/>
      <c r="BZ39" s="645">
        <f>IF($AZ39="",0,$AZ39*$AE39)</f>
        <v>0</v>
      </c>
      <c r="CA39" s="645">
        <f>IF($BB39="",0,$BB39*$AE39)</f>
        <v>0</v>
      </c>
      <c r="CB39" s="645">
        <f>IF($BD39="",0,$BD39*$AE39)</f>
        <v>0</v>
      </c>
      <c r="CC39" s="13"/>
      <c r="CD39" s="8"/>
      <c r="CE39" s="13"/>
      <c r="CF39" s="13"/>
      <c r="CG39" s="8"/>
      <c r="CH39" s="13"/>
      <c r="CI39" s="13"/>
      <c r="CJ39" s="7"/>
      <c r="CK39" s="13"/>
      <c r="CL39" s="13"/>
      <c r="CM39" s="7"/>
      <c r="CN39" s="7"/>
      <c r="CO39" s="7"/>
    </row>
    <row r="40" spans="1:93" ht="20.25" customHeight="1">
      <c r="A40" s="194"/>
      <c r="B40" s="1902"/>
      <c r="C40" s="1904"/>
      <c r="D40" s="820"/>
      <c r="E40" s="1904"/>
      <c r="F40" s="65"/>
      <c r="G40" s="1900"/>
      <c r="H40" s="1901"/>
      <c r="I40" s="66"/>
      <c r="J40" s="827"/>
      <c r="K40" s="784"/>
      <c r="L40" s="785"/>
      <c r="M40" s="786"/>
      <c r="N40" s="787"/>
      <c r="O40" s="844"/>
      <c r="P40" s="834"/>
      <c r="Q40" s="194"/>
      <c r="R40" s="659" t="str">
        <f>IF(OR($C39="-",$G39="-",$L40&lt;=0,$J$54="No"),"",$L40)</f>
        <v/>
      </c>
      <c r="S40" s="659"/>
      <c r="T40" s="194"/>
      <c r="U40" s="194"/>
      <c r="V40" s="194"/>
      <c r="W40" s="733" t="s">
        <v>318</v>
      </c>
      <c r="X40" s="239" t="str">
        <f>IF(OR($E39="-",$G39="-",$L40&lt;=0,$J$54="No",$AA$6="NO"),"",VLOOKUP($G39,'Data source'!$B$128:$C$137,2,FALSE))</f>
        <v/>
      </c>
      <c r="Y40" s="237">
        <f>IF(OR($E39="-",$G39="-",$L40&lt;=0,$J$54="No",$AA$6="NO"),0,$L40*$X40)</f>
        <v>0</v>
      </c>
      <c r="Z40" s="574" t="str">
        <f>IF(OR($E39="-",$G39="-",$L40&lt;=0,$J$54="No",$AA$6="NO"),"",$R$21)</f>
        <v/>
      </c>
      <c r="AA40" s="237" t="str">
        <f>IF(OR($E39="-",$G39="-",$L40&lt;=0,$J$54="No",$AA$6="NO"),"",VLOOKUP($E39,'Data source'!$B$12:$I$99,2,FALSE))</f>
        <v/>
      </c>
      <c r="AB40" s="238" t="str">
        <f>IF(OR($E39="-",$G39="-",$L40&lt;=0,$J$54="No",$AA$6="NO"),"",$Y40*$Z40)</f>
        <v/>
      </c>
      <c r="AC40" s="317"/>
      <c r="AD40" s="240" t="str">
        <f>IF(OR($E39="-",$G39="-",$L40&lt;=0,$J$54="No",$AA$6="NO"),"",VLOOKUP($E39,'Data source'!$B$12:$I$99,4,FALSE))</f>
        <v/>
      </c>
      <c r="AE40" s="241" t="str">
        <f>IF(OR($E39="-",$G39="-",$L40&lt;=0,$J$54="No",$AA$6="NO"),"",(($Y40/$Y$50)*$AD40))</f>
        <v/>
      </c>
      <c r="AF40" s="94"/>
      <c r="AG40" s="240" t="str">
        <f>IF(OR($E39="-",$G39="-",$L40&lt;=0,$J$54="No",$AA$6="NO"),"",VLOOKUP($E39,'Data source'!$B$12:$I$99,5,FALSE))</f>
        <v/>
      </c>
      <c r="AH40" s="241" t="str">
        <f>IF(OR($E39="-",$G39="-",$L40&lt;=0,$J$54="No",$AA$6="NO"),"",(($Y40/$Y$50)*AG40))</f>
        <v/>
      </c>
      <c r="AI40" s="105"/>
      <c r="AJ40" s="240" t="str">
        <f>IF(OR($E39="-",$G39="-",$L40&lt;=0,$J$54="No",$AA$6="NO"),"",VLOOKUP($E39,'Data source'!$B$12:$I$99,6,FALSE))</f>
        <v/>
      </c>
      <c r="AK40" s="241" t="str">
        <f>IF(OR($E39="-",$G39="-",$L40&lt;=0,$J$54="No",$AA$6="NO"),"",(($Y40/$Y$50)*AJ40))</f>
        <v/>
      </c>
      <c r="AL40" s="317"/>
      <c r="AM40" s="240" t="str">
        <f>IF(OR($E39="-",$G39="-",$L40&lt;=0,$J$54="No",$AA$6="NO"),"",VLOOKUP($E39,'Data source'!$B$12:$I$99,7,FALSE))</f>
        <v/>
      </c>
      <c r="AN40" s="241" t="str">
        <f>IF(OR($E39="-",$G39="-",$L40&lt;=0,$J$54="No",$AA$6="NO"),"",(($Y40/$Y$50)*AM40))</f>
        <v/>
      </c>
      <c r="AO40" s="317"/>
      <c r="AP40" s="240" t="str">
        <f>IF(OR($E39="-",$G39="-",$L40&lt;=0,$J$54="No",$AA$6="NO"),"",VLOOKUP($E39,'Data source'!$B$12:$I$99,8,FALSE))</f>
        <v/>
      </c>
      <c r="AQ40" s="241" t="str">
        <f>IF(OR($E39="-",$G39="-",$L40&lt;=0,$J$54="No",$AA$6="NO"),"",(AP40/100*AN40)*($Y40/$Y$50))</f>
        <v/>
      </c>
      <c r="AR40" s="213"/>
      <c r="AS40" s="609" t="str">
        <f>IF(OR($E39="-",$G39="-",$L40&lt;=0,$J$54="No",$AA$6="NO"),"",VLOOKUP($E39,'Data source'!$B$15:$M$99,12,FALSE))</f>
        <v/>
      </c>
      <c r="AT40" s="237" t="str">
        <f>IF(OR($E39="-",$G39="-",$L40&lt;=0,$J$54="No",$AA$6="NO"),"",IF($AS40="Dry",$O39/$X40/10,IF($AS40="Wet",$O39/($AA40/100)*$X40/10,0)))</f>
        <v/>
      </c>
      <c r="AU40" s="237" t="str">
        <f>IF(OR($E39="-",$G39="-",$L40&lt;=0,$J$54="No",$AA$6="NO"),"",IF(OR($H26="-",$Q40="-",$L40=0),"",AT40/Z40))</f>
        <v/>
      </c>
      <c r="AV40" s="612" t="str">
        <f>IF(OR($E39="-",$G39="-",$L40&lt;=0,$J$54="No",$AA$6="NO"),"",IF(OR($H26="-",$Q40="-",$L40=0),"",($AT40*$L40)/100))</f>
        <v/>
      </c>
      <c r="AW40" s="610"/>
      <c r="AX40" s="335"/>
      <c r="AY40" s="240"/>
      <c r="AZ40" s="647" t="str">
        <f>IF(OR($E39="-",$G39="-",$L40&lt;=0,$J$54="No",$AA$6="NO"),"",VLOOKUP($E39,'Data source'!$B$15:$M$99,9,FALSE))</f>
        <v/>
      </c>
      <c r="BA40" s="647"/>
      <c r="BB40" s="647" t="str">
        <f>IF(OR($E39="-",$G39="-",$L40&lt;=0,$J$54="No",$AA$6="NO"),"",VLOOKUP($E39,'Data source'!$B$15:$M$99,10,FALSE))</f>
        <v/>
      </c>
      <c r="BC40" s="647"/>
      <c r="BD40" s="647" t="str">
        <f>IF(OR($E39="-",$G39="-",$L40&lt;=0,$J$54="No",$AA$6="NO"),"",VLOOKUP($E39,'Data source'!$B$15:$M$99,11,FALSE))</f>
        <v/>
      </c>
      <c r="BE40" s="648"/>
      <c r="BF40" s="350"/>
      <c r="BG40" s="350"/>
      <c r="BH40" s="240">
        <f>IF(OR($E39="-",$G39="-",$L40&lt;=0,$J$54="No",$AA$6="NO"),0,VLOOKUP($E39,'Data source'!$B$15:$T$99,13,FALSE))</f>
        <v>0</v>
      </c>
      <c r="BI40" s="237">
        <f>IF(OR($E39="-",$G39="-",$L40&lt;=0,$J$54="No",$AA$6="NO"),0,VLOOKUP($E39,'Data source'!$B$15:$T$99,14,FALSE))</f>
        <v>0</v>
      </c>
      <c r="BJ40" s="237">
        <f>IF(OR($E39="-",$G39="-",$L40&lt;=0,$J$54="No",$AA$6="NO"),0,VLOOKUP($E39,'Data source'!$B$15:$T$99,15,FALSE))</f>
        <v>0</v>
      </c>
      <c r="BK40" s="237">
        <f>IF(OR($E39="-",$G39="-",$L40&lt;=0,$J$54="No",$AA$6="NO"),0,VLOOKUP($E39,'Data source'!$B$15:$T$99,16,FALSE))</f>
        <v>0</v>
      </c>
      <c r="BL40" s="237">
        <f>IF(OR($E39="-",$G39="-",$L40&lt;=0,$J$54="No",$AA$6="NO"),0,VLOOKUP($E39,'Data source'!$B$15:$T$99,17,FALSE))</f>
        <v>0</v>
      </c>
      <c r="BM40" s="237">
        <f>IF(OR($E39="-",$G39="-",$L40&lt;=0,$J$54="No",$AA$6="NO"),0,VLOOKUP($E39,'Data source'!$B$15:$T$99,18,FALSE))</f>
        <v>0</v>
      </c>
      <c r="BN40" s="237">
        <f>IF(OR($E39="-",$G39="-",$L40&lt;=0,$J$54="No",$AA$6="NO"),0,VLOOKUP($E39,'Data source'!$B$15:$T$99,19,FALSE))</f>
        <v>0</v>
      </c>
      <c r="BO40" s="754">
        <f>IF(OR($E39="-",$G39="-",$L40&lt;=0,$J$54="No",$AA$6="NO"),0,((43.498*$BH40)+(25.574*$BI40))-((28.206*$BJ40)+(62.375*$BK40)))*$Y40*10/1000</f>
        <v>0</v>
      </c>
      <c r="BP40" s="333"/>
      <c r="BQ40" s="213"/>
      <c r="BR40" s="213"/>
      <c r="BS40" s="213"/>
      <c r="BT40" s="317"/>
      <c r="BU40" s="317"/>
      <c r="BV40" s="353"/>
      <c r="BW40" s="204"/>
      <c r="BX40" s="7"/>
      <c r="BY40" s="13"/>
      <c r="BZ40" s="645">
        <f>IF($AZ40="",0,$AZ40*$AE40)</f>
        <v>0</v>
      </c>
      <c r="CA40" s="645">
        <f>IF($BB40="",0,$BB40*$AE40)</f>
        <v>0</v>
      </c>
      <c r="CB40" s="645">
        <f>IF($BD40="",0,$BD40*$AE40)</f>
        <v>0</v>
      </c>
      <c r="CC40" s="13"/>
      <c r="CD40" s="8"/>
      <c r="CE40" s="13"/>
      <c r="CF40" s="13"/>
      <c r="CG40" s="8"/>
      <c r="CH40" s="13"/>
      <c r="CI40" s="13"/>
      <c r="CJ40" s="7"/>
      <c r="CK40" s="13"/>
      <c r="CL40" s="13"/>
      <c r="CM40" s="7"/>
      <c r="CN40" s="7"/>
      <c r="CO40" s="7"/>
    </row>
    <row r="41" spans="1:93" ht="8.25" customHeight="1">
      <c r="A41" s="194"/>
      <c r="B41" s="836"/>
      <c r="C41" s="775"/>
      <c r="D41" s="66"/>
      <c r="E41" s="66"/>
      <c r="F41" s="66"/>
      <c r="G41" s="66"/>
      <c r="H41" s="66"/>
      <c r="I41" s="599"/>
      <c r="J41" s="599"/>
      <c r="K41" s="599"/>
      <c r="L41" s="599"/>
      <c r="M41" s="603"/>
      <c r="N41" s="51"/>
      <c r="O41" s="594"/>
      <c r="P41" s="834"/>
      <c r="Q41" s="194"/>
      <c r="R41" s="659"/>
      <c r="S41" s="659"/>
      <c r="T41" s="194"/>
      <c r="U41" s="194"/>
      <c r="V41" s="654"/>
      <c r="W41" s="194"/>
      <c r="X41" s="522"/>
      <c r="Y41" s="324"/>
      <c r="Z41" s="324"/>
      <c r="AA41" s="324"/>
      <c r="AB41" s="307"/>
      <c r="AC41" s="317"/>
      <c r="AD41" s="324"/>
      <c r="AE41" s="324"/>
      <c r="AF41" s="317"/>
      <c r="AG41" s="324"/>
      <c r="AH41" s="324"/>
      <c r="AI41" s="213"/>
      <c r="AJ41" s="324"/>
      <c r="AK41" s="324"/>
      <c r="AL41" s="317"/>
      <c r="AM41" s="324"/>
      <c r="AN41" s="324"/>
      <c r="AO41" s="317"/>
      <c r="AP41" s="324"/>
      <c r="AQ41" s="324"/>
      <c r="AR41" s="213"/>
      <c r="AS41" s="429"/>
      <c r="AT41" s="324"/>
      <c r="AU41" s="392"/>
      <c r="AV41" s="515"/>
      <c r="AW41" s="193"/>
      <c r="AX41" s="335"/>
      <c r="AY41" s="324"/>
      <c r="AZ41" s="307"/>
      <c r="BA41" s="307"/>
      <c r="BB41" s="307"/>
      <c r="BC41" s="307"/>
      <c r="BD41" s="307"/>
      <c r="BE41" s="324"/>
      <c r="BF41" s="324"/>
      <c r="BG41" s="324"/>
      <c r="BH41" s="324"/>
      <c r="BI41" s="324"/>
      <c r="BJ41" s="324"/>
      <c r="BK41" s="324"/>
      <c r="BL41" s="324"/>
      <c r="BM41" s="324"/>
      <c r="BN41" s="324"/>
      <c r="BO41" s="757"/>
      <c r="BP41" s="333"/>
      <c r="BQ41" s="213"/>
      <c r="BR41" s="213"/>
      <c r="BS41" s="213"/>
      <c r="BT41" s="317"/>
      <c r="BU41" s="317"/>
      <c r="BV41" s="353"/>
      <c r="BW41" s="204"/>
      <c r="BX41" s="7"/>
      <c r="BY41" s="13"/>
      <c r="BZ41" s="645"/>
      <c r="CA41" s="645"/>
      <c r="CB41" s="645"/>
      <c r="CC41" s="13"/>
      <c r="CD41" s="8"/>
      <c r="CE41" s="13"/>
      <c r="CF41" s="13"/>
      <c r="CG41" s="8"/>
      <c r="CH41" s="13"/>
      <c r="CI41" s="13"/>
      <c r="CJ41" s="7"/>
      <c r="CK41" s="13"/>
      <c r="CL41" s="13"/>
      <c r="CM41" s="7"/>
      <c r="CN41" s="7"/>
      <c r="CO41" s="7"/>
    </row>
    <row r="42" spans="1:93" ht="19.5" customHeight="1">
      <c r="A42" s="194"/>
      <c r="B42" s="1902"/>
      <c r="C42" s="1903" t="str">
        <f>IF('   ASK    '!W20="","",'   ASK    '!W20)</f>
        <v>Minerals</v>
      </c>
      <c r="D42" s="65"/>
      <c r="E42" s="1903" t="str">
        <f>IF('   ASK    '!Y20="","",'   ASK    '!Y20)</f>
        <v>CaCO3, %DM</v>
      </c>
      <c r="F42" s="65"/>
      <c r="G42" s="1898" t="s">
        <v>156</v>
      </c>
      <c r="H42" s="1899"/>
      <c r="I42" s="66"/>
      <c r="J42" s="826"/>
      <c r="K42" s="779"/>
      <c r="L42" s="779"/>
      <c r="M42" s="780"/>
      <c r="N42" s="781"/>
      <c r="O42" s="842"/>
      <c r="P42" s="834"/>
      <c r="Q42" s="194"/>
      <c r="R42" s="659" t="str">
        <f>IF(OR($C42="-",$G42="-",$J42&lt;=0,$J$53="No"),"",$J42)</f>
        <v/>
      </c>
      <c r="S42" s="659">
        <f>IF(OR($C42="-",$G42="-",$J$53="No"),0,1)</f>
        <v>0</v>
      </c>
      <c r="T42" s="194"/>
      <c r="U42" s="194"/>
      <c r="V42" s="655" t="str">
        <f>C42</f>
        <v>Minerals</v>
      </c>
      <c r="W42" s="733" t="s">
        <v>317</v>
      </c>
      <c r="X42" s="232" t="str">
        <f>IF(OR($E42="-",$G42="-",$J42&lt;=0,$J$53="No"),"",VLOOKUP($G42,'Data source'!$B$128:$C$137,2,FALSE))</f>
        <v/>
      </c>
      <c r="Y42" s="211">
        <f>IF(OR($E42="-",$G42="-",$J42&lt;=0,$J$53="No"),0,J42*X42)</f>
        <v>0</v>
      </c>
      <c r="Z42" s="573" t="str">
        <f>IF(OR($E42="-",$G42="-",$J42&lt;=0,$J$53="No"),"",$R$21)</f>
        <v/>
      </c>
      <c r="AA42" s="224" t="str">
        <f>IF(OR($E42="-",$G42="-",$J42&lt;=0,$J$53="No"),"",VLOOKUP($E42,'Data source'!$B$15:$I$99,2,FALSE))</f>
        <v/>
      </c>
      <c r="AB42" s="233" t="str">
        <f>IF(OR($E42="-",$G42="-",$J42&lt;=0,$J$53="No"),"",Y42*Z42)</f>
        <v/>
      </c>
      <c r="AC42" s="317"/>
      <c r="AD42" s="234" t="str">
        <f>IF(OR($E42="-",$G42="-",$J42&lt;=0,$J$53="No"),"",VLOOKUP($E42,'Data source'!$B$15:$I$99,4,FALSE))</f>
        <v/>
      </c>
      <c r="AE42" s="235" t="str">
        <f>IF(OR($E42="-",$G42="-",$J42&lt;=0,$J$53="No"),"",(($Y42/$Y$49)*AD42))</f>
        <v/>
      </c>
      <c r="AF42" s="94"/>
      <c r="AG42" s="234" t="str">
        <f>IF(OR($E42="-",$G42="-",$J42&lt;=0,$J$53="No"),"",VLOOKUP($E42,'Data source'!$B$15:$I$99,5,FALSE))</f>
        <v/>
      </c>
      <c r="AH42" s="235" t="str">
        <f>IF(OR($E42="-",$G42="-",$J42&lt;=0,$J$53="No"),"",(($Y42/$Y$49)*AG42))</f>
        <v/>
      </c>
      <c r="AI42" s="105"/>
      <c r="AJ42" s="234" t="str">
        <f>IF(OR($E42="-",$G42="-",$J42&lt;=0,$J$53="No"),"",VLOOKUP($E42,'Data source'!$B$15:$I$99,6,FALSE))</f>
        <v/>
      </c>
      <c r="AK42" s="235" t="str">
        <f>IF(OR($E42="-",$G42="-",$J42&lt;=0,$J$53="No"),"",(($Y42/$Y$49)*AJ42))</f>
        <v/>
      </c>
      <c r="AL42" s="317"/>
      <c r="AM42" s="234" t="str">
        <f>IF(OR($E42="-",$G42="-",$J42&lt;=0,$J$53="No"),"",VLOOKUP($E42,'Data source'!$B$15:$I$99,7,FALSE))</f>
        <v/>
      </c>
      <c r="AN42" s="235" t="str">
        <f>IF(OR($E42="-",$G42="-",$J42&lt;=0,$J$53="No"),"",(($Y42/$Y$49)*AM42))</f>
        <v/>
      </c>
      <c r="AO42" s="317"/>
      <c r="AP42" s="234" t="str">
        <f>IF(OR($E42="-",$G42="-",$J42&lt;=0,$J$53="No"),"",VLOOKUP($E42,'Data source'!$B$15:$I$99,8,FALSE))</f>
        <v/>
      </c>
      <c r="AQ42" s="235" t="str">
        <f>IF(OR($E42="-",$G42="-",$J42="",$J$53="No"),"",(AP42/100*AN42)*($Y42/$Y$49))</f>
        <v/>
      </c>
      <c r="AR42" s="213"/>
      <c r="AS42" s="234" t="str">
        <f>IF(OR($E42="-",$G42="-",$J42&lt;=0,$J$53="No"),"",VLOOKUP($E42,'Data source'!$B$15:$M$99,12,FALSE))</f>
        <v/>
      </c>
      <c r="AT42" s="224" t="str">
        <f>IF(OR($E42="-",$G42="-",$J42&lt;=0,$J$53="No"),"",IF($AS42="Dry",$O42/$X42/10,IF($AS42="Wet",$O42/($AA42/100)*$X42/10,0)))</f>
        <v/>
      </c>
      <c r="AU42" s="224" t="str">
        <f>IF(OR($E42="-",$G42="-",$J42&lt;=0,$J$53="No"),"",AT42/Z42)</f>
        <v/>
      </c>
      <c r="AV42" s="611" t="str">
        <f>IF(OR($E42="-",$G42="-",$J42&lt;=0,$J$53="No"),"",($AT42*$J42)/100)</f>
        <v/>
      </c>
      <c r="AW42" s="610"/>
      <c r="AX42" s="335"/>
      <c r="AY42" s="234"/>
      <c r="AZ42" s="646" t="str">
        <f>IF(OR($E42="-",$G42="-",$J42&lt;=0,$J$53="No"),"",VLOOKUP($E42,'Data source'!$B$12:$M$99,9,FALSE))</f>
        <v/>
      </c>
      <c r="BA42" s="646"/>
      <c r="BB42" s="646" t="str">
        <f>IF(OR($E42="-",$G42="-",$J42&lt;=0,$J$53="No"),"",VLOOKUP($E42,'Data source'!$B$12:$M$99,10,FALSE))</f>
        <v/>
      </c>
      <c r="BC42" s="646"/>
      <c r="BD42" s="646" t="str">
        <f>IF(OR($E42="-",$G42="-",$J42&lt;=0,$J$53="No"),"",VLOOKUP($E42,'Data source'!$B$12:$M$99,11,FALSE))</f>
        <v/>
      </c>
      <c r="BE42" s="648"/>
      <c r="BF42" s="350"/>
      <c r="BG42" s="350"/>
      <c r="BH42" s="234">
        <f>IF(OR($E42="-",$G42="-",$J42&lt;=0,$J$53="No"),0,VLOOKUP($E42,'Data source'!$B$15:$T$99,13,FALSE))</f>
        <v>0</v>
      </c>
      <c r="BI42" s="224">
        <f>IF(OR($E42="-",$G42="-",$J42&lt;=0,$J$53="No"),0,VLOOKUP($E42,'Data source'!$B$15:$T$99,14,FALSE))</f>
        <v>0</v>
      </c>
      <c r="BJ42" s="224">
        <f>IF(OR($E42="-",$G42="-",$J42&lt;=0,$J$53="No"),0,VLOOKUP($E42,'Data source'!$B$15:$T$99,15,FALSE))</f>
        <v>0</v>
      </c>
      <c r="BK42" s="224">
        <f>IF(OR($E42="-",$G42="-",$J42&lt;=0,$J$53="No"),0,VLOOKUP($E42,'Data source'!$B$15:$T$99,16,FALSE))</f>
        <v>0</v>
      </c>
      <c r="BL42" s="224">
        <f>IF(OR($E42="-",$G42="-",$J42&lt;=0,$J$53="No"),0,VLOOKUP($E42,'Data source'!$B$15:$T$99,17,FALSE))</f>
        <v>0</v>
      </c>
      <c r="BM42" s="224">
        <f>IF(OR($E42="-",$G42="-",$J42&lt;=0,$J$53="No"),0,VLOOKUP($E42,'Data source'!$B$15:$T$99,18,FALSE))</f>
        <v>0</v>
      </c>
      <c r="BN42" s="224">
        <f>IF(OR($E42="-",$G42="-",$J42&lt;=0,$J$53="No"),0,VLOOKUP($E42,'Data source'!$B$15:$T$99,19,FALSE))</f>
        <v>0</v>
      </c>
      <c r="BO42" s="753">
        <f>IF(OR($E42="-",$G42="-",$J42&lt;=0,$J$53="No"),0,((43.498*$BH42)+(25.574*$BI42))-((28.206*$BJ42)+(62.375*$BK42)))*$Y42*10/1000</f>
        <v>0</v>
      </c>
      <c r="BP42" s="333"/>
      <c r="BQ42" s="213"/>
      <c r="BR42" s="213"/>
      <c r="BS42" s="213"/>
      <c r="BT42" s="317"/>
      <c r="BU42" s="317"/>
      <c r="BV42" s="355"/>
      <c r="BW42" s="204"/>
      <c r="BX42" s="18"/>
      <c r="BY42" s="14"/>
      <c r="BZ42" s="645">
        <f>IF($AZ42="",0,$AZ42*$AE42)</f>
        <v>0</v>
      </c>
      <c r="CA42" s="645">
        <f>IF($BB42="",0,$BB42*$AE42)</f>
        <v>0</v>
      </c>
      <c r="CB42" s="645">
        <f>IF($BD42="",0,$BD42*$AE42)</f>
        <v>0</v>
      </c>
      <c r="CC42" s="13"/>
      <c r="CD42" s="8"/>
      <c r="CE42" s="14"/>
      <c r="CF42" s="13"/>
      <c r="CG42" s="13"/>
      <c r="CH42" s="14"/>
      <c r="CI42" s="13"/>
      <c r="CJ42" s="13"/>
      <c r="CK42" s="14"/>
      <c r="CL42" s="13"/>
      <c r="CM42" s="7"/>
      <c r="CN42" s="7"/>
      <c r="CO42" s="7"/>
    </row>
    <row r="43" spans="1:93" ht="19.5" customHeight="1">
      <c r="A43" s="194"/>
      <c r="B43" s="1902"/>
      <c r="C43" s="1904"/>
      <c r="D43" s="821"/>
      <c r="E43" s="1904"/>
      <c r="F43" s="593"/>
      <c r="G43" s="1900"/>
      <c r="H43" s="1901"/>
      <c r="I43" s="66"/>
      <c r="J43" s="827"/>
      <c r="K43" s="784"/>
      <c r="L43" s="785"/>
      <c r="M43" s="786"/>
      <c r="N43" s="787"/>
      <c r="O43" s="844"/>
      <c r="P43" s="834"/>
      <c r="Q43" s="194"/>
      <c r="R43" s="659" t="str">
        <f>IF(OR($C42="-",$G42="-",$L43&lt;=0,$J$54="No"),"",$L43)</f>
        <v/>
      </c>
      <c r="S43" s="659"/>
      <c r="T43" s="194"/>
      <c r="U43" s="194"/>
      <c r="V43" s="194"/>
      <c r="W43" s="733" t="s">
        <v>318</v>
      </c>
      <c r="X43" s="239" t="str">
        <f>IF(OR($E42="-",$G42="-",$L43&lt;=0,$J$54="No",$AA$6="NO"),"",VLOOKUP($G42,'Data source'!$B$128:$C$137,2,FALSE))</f>
        <v/>
      </c>
      <c r="Y43" s="237">
        <f>IF(OR($E42="-",$G42="-",$L43&lt;=0,$J$54="No",$AA$6="NO"),0,$L43*$X43)</f>
        <v>0</v>
      </c>
      <c r="Z43" s="574" t="str">
        <f>IF(OR($E42="-",$G42="-",$L43&lt;=0,$J$54="No",$AA$6="NO"),"",$R$21)</f>
        <v/>
      </c>
      <c r="AA43" s="237" t="str">
        <f>IF(OR($E42="-",$G42="-",$L43&lt;=0,$J$54="No",$AA$6="NO"),"",VLOOKUP($E42,'Data source'!$B$12:$I$99,2,FALSE))</f>
        <v/>
      </c>
      <c r="AB43" s="238" t="str">
        <f>IF(OR($E42="-",$G42="-",$L43&lt;=0,$J$54="No",$AA$6="NO"),"",$Y43*$Z43)</f>
        <v/>
      </c>
      <c r="AC43" s="317"/>
      <c r="AD43" s="240" t="str">
        <f>IF(OR($E42="-",$G42="-",$L43&lt;=0,$J$54="No",$AA$6="NO"),"",VLOOKUP($E42,'Data source'!$B$12:$I$99,4,FALSE))</f>
        <v/>
      </c>
      <c r="AE43" s="241" t="str">
        <f>IF(OR($E42="-",$G42="-",$L43&lt;=0,$J$54="No",$AA$6="NO"),"",(($Y43/$Y$50)*$AD43))</f>
        <v/>
      </c>
      <c r="AF43" s="94"/>
      <c r="AG43" s="240" t="str">
        <f>IF(OR($E42="-",$G42="-",$L43&lt;=0,$J$54="No",$AA$6="NO"),"",VLOOKUP($E42,'Data source'!$B$12:$I$99,5,FALSE))</f>
        <v/>
      </c>
      <c r="AH43" s="241" t="str">
        <f>IF(OR($E42="-",$G42="-",$L43&lt;=0,$J$54="No",$AA$6="NO"),"",(($Y43/$Y$50)*AG43))</f>
        <v/>
      </c>
      <c r="AI43" s="105"/>
      <c r="AJ43" s="240" t="str">
        <f>IF(OR($E42="-",$G42="-",$L43&lt;=0,$J$54="No",$AA$6="NO"),"",VLOOKUP($E42,'Data source'!$B$12:$I$99,6,FALSE))</f>
        <v/>
      </c>
      <c r="AK43" s="241" t="str">
        <f>IF(OR($E42="-",$G42="-",$L43&lt;=0,$J$54="No",$AA$6="NO"),"",(($Y43/$Y$50)*AJ43))</f>
        <v/>
      </c>
      <c r="AL43" s="317"/>
      <c r="AM43" s="240" t="str">
        <f>IF(OR($E42="-",$G42="-",$L43&lt;=0,$J$54="No",$AA$6="NO"),"",VLOOKUP($E42,'Data source'!$B$12:$I$99,7,FALSE))</f>
        <v/>
      </c>
      <c r="AN43" s="241" t="str">
        <f>IF(OR($E42="-",$G42="-",$L43&lt;=0,$J$54="No",$AA$6="NO"),"",(($Y43/$Y$50)*AM43))</f>
        <v/>
      </c>
      <c r="AO43" s="317"/>
      <c r="AP43" s="240" t="str">
        <f>IF(OR($E42="-",$G42="-",$L43&lt;=0,$J$54="No",$AA$6="NO"),"",VLOOKUP($E42,'Data source'!$B$12:$I$99,8,FALSE))</f>
        <v/>
      </c>
      <c r="AQ43" s="241" t="str">
        <f>IF(OR($E42="-",$G42="-",$L43&lt;=0,$J$54="No",$AA$6="NO"),"",(AP43/100*AN43)*($Y43/$Y$50))</f>
        <v/>
      </c>
      <c r="AR43" s="213"/>
      <c r="AS43" s="609" t="str">
        <f>IF(OR($E42="-",$G42="-",$L43&lt;=0,$J$54="No",$AA$6="NO"),"",VLOOKUP($E42,'Data source'!$B$15:$M$99,12,FALSE))</f>
        <v/>
      </c>
      <c r="AT43" s="237" t="str">
        <f>IF(OR($E42="-",$G42="-",$L43&lt;=0,$J$54="No",$AA$6="NO"),"",IF($AS43="Dry",$O42/$X43/10,IF($AS43="Wet",$O42/($AA43/100)*$X43/10,0)))</f>
        <v/>
      </c>
      <c r="AU43" s="237" t="str">
        <f>IF(OR($E42="-",$G42="-",$L43&lt;=0,$J$54="No",$AA$6="NO"),"",IF(OR($H29="-",$Q43="-",$L43=0),"",AT43/Z43))</f>
        <v/>
      </c>
      <c r="AV43" s="612" t="str">
        <f>IF(OR($E42="-",$G42="-",$L43&lt;=0,$J$54="No",$AA$6="NO"),"",IF(OR($H29="-",$Q43="-",$L43=0),"",($AT43*$L43)/100))</f>
        <v/>
      </c>
      <c r="AW43" s="610"/>
      <c r="AX43" s="335"/>
      <c r="AY43" s="240"/>
      <c r="AZ43" s="647" t="str">
        <f>IF(OR($E42="-",$G42="-",$L43&lt;=0,$J$54="No",$AA$6="NO"),"",VLOOKUP($E42,'Data source'!$B$15:$M$99,9,FALSE))</f>
        <v/>
      </c>
      <c r="BA43" s="647"/>
      <c r="BB43" s="647" t="str">
        <f>IF(OR($E42="-",$G42="-",$L43&lt;=0,$J$54="No",$AA$6="NO"),"",VLOOKUP($E42,'Data source'!$B$15:$M$99,10,FALSE))</f>
        <v/>
      </c>
      <c r="BC43" s="647"/>
      <c r="BD43" s="647" t="str">
        <f>IF(OR($E42="-",$G42="-",$L43&lt;=0,$J$54="No",$AA$6="NO"),"",VLOOKUP($E42,'Data source'!$B$15:$M$99,11,FALSE))</f>
        <v/>
      </c>
      <c r="BE43" s="648"/>
      <c r="BF43" s="350"/>
      <c r="BG43" s="350"/>
      <c r="BH43" s="240">
        <f>IF(OR($E42="-",$G42="-",$L43&lt;=0,$J$54="No",$AA$6="NO"),0,VLOOKUP($E42,'Data source'!$B$15:$T$99,13,FALSE))</f>
        <v>0</v>
      </c>
      <c r="BI43" s="237">
        <f>IF(OR($E42="-",$G42="-",$L43&lt;=0,$J$54="No",$AA$6="NO"),0,VLOOKUP($E42,'Data source'!$B$15:$T$99,14,FALSE))</f>
        <v>0</v>
      </c>
      <c r="BJ43" s="237">
        <f>IF(OR($E42="-",$G42="-",$L43&lt;=0,$J$54="No",$AA$6="NO"),0,VLOOKUP($E42,'Data source'!$B$15:$T$99,15,FALSE))</f>
        <v>0</v>
      </c>
      <c r="BK43" s="237">
        <f>IF(OR($E42="-",$G42="-",$L43&lt;=0,$J$54="No",$AA$6="NO"),0,VLOOKUP($E42,'Data source'!$B$15:$T$99,16,FALSE))</f>
        <v>0</v>
      </c>
      <c r="BL43" s="237">
        <f>IF(OR($E42="-",$G42="-",$L43&lt;=0,$J$54="No",$AA$6="NO"),0,VLOOKUP($E42,'Data source'!$B$15:$T$99,17,FALSE))</f>
        <v>0</v>
      </c>
      <c r="BM43" s="237">
        <f>IF(OR($E42="-",$G42="-",$L43&lt;=0,$J$54="No",$AA$6="NO"),0,VLOOKUP($E42,'Data source'!$B$15:$T$99,18,FALSE))</f>
        <v>0</v>
      </c>
      <c r="BN43" s="237">
        <f>IF(OR($E42="-",$G42="-",$L43&lt;=0,$J$54="No",$AA$6="NO"),0,VLOOKUP($E42,'Data source'!$B$15:$T$99,19,FALSE))</f>
        <v>0</v>
      </c>
      <c r="BO43" s="754">
        <f>IF(OR($E42="-",$G42="-",$L43&lt;=0,$J$54="No",$AA$6="NO"),0,((43.498*$BH43)+(25.574*$BI43))-((28.206*$BJ43)+(62.375*$BK43)))*$Y43*10/1000</f>
        <v>0</v>
      </c>
      <c r="BP43" s="333"/>
      <c r="BQ43" s="213"/>
      <c r="BR43" s="213"/>
      <c r="BS43" s="213"/>
      <c r="BT43" s="317"/>
      <c r="BU43" s="317"/>
      <c r="BV43" s="355"/>
      <c r="BW43" s="204"/>
      <c r="BX43" s="18"/>
      <c r="BY43" s="14"/>
      <c r="BZ43" s="645">
        <f>IF($AZ43="",0,$AZ43*$AE43)</f>
        <v>0</v>
      </c>
      <c r="CA43" s="645">
        <f>IF($BB43="",0,$BB43*$AE43)</f>
        <v>0</v>
      </c>
      <c r="CB43" s="645">
        <f>IF($BD43="",0,$BD43*$AE43)</f>
        <v>0</v>
      </c>
      <c r="CC43" s="13"/>
      <c r="CD43" s="8"/>
      <c r="CE43" s="14"/>
      <c r="CF43" s="13"/>
      <c r="CG43" s="13"/>
      <c r="CH43" s="14"/>
      <c r="CI43" s="13"/>
      <c r="CJ43" s="13"/>
      <c r="CK43" s="14"/>
      <c r="CL43" s="13"/>
      <c r="CM43" s="7"/>
      <c r="CN43" s="7"/>
      <c r="CO43" s="7"/>
    </row>
    <row r="44" spans="1:93" ht="9.75" customHeight="1">
      <c r="A44" s="194"/>
      <c r="B44" s="838"/>
      <c r="C44" s="570"/>
      <c r="D44" s="66"/>
      <c r="E44" s="66"/>
      <c r="F44" s="66"/>
      <c r="G44" s="66"/>
      <c r="H44" s="66"/>
      <c r="I44" s="599"/>
      <c r="J44" s="599"/>
      <c r="K44" s="599"/>
      <c r="L44" s="593"/>
      <c r="M44" s="78"/>
      <c r="N44" s="51"/>
      <c r="O44" s="594"/>
      <c r="P44" s="834"/>
      <c r="Q44" s="194"/>
      <c r="R44" s="659"/>
      <c r="S44" s="659"/>
      <c r="T44" s="194"/>
      <c r="U44" s="194"/>
      <c r="V44" s="194"/>
      <c r="W44" s="194"/>
      <c r="X44" s="522"/>
      <c r="Y44" s="324"/>
      <c r="Z44" s="324"/>
      <c r="AA44" s="324"/>
      <c r="AB44" s="307"/>
      <c r="AC44" s="317"/>
      <c r="AD44" s="324"/>
      <c r="AE44" s="324"/>
      <c r="AF44" s="317"/>
      <c r="AG44" s="324"/>
      <c r="AH44" s="324"/>
      <c r="AI44" s="213"/>
      <c r="AJ44" s="324"/>
      <c r="AK44" s="324"/>
      <c r="AL44" s="317"/>
      <c r="AM44" s="324"/>
      <c r="AN44" s="324"/>
      <c r="AO44" s="317"/>
      <c r="AP44" s="324"/>
      <c r="AQ44" s="324"/>
      <c r="AR44" s="213"/>
      <c r="AS44" s="429"/>
      <c r="AT44" s="324"/>
      <c r="AU44" s="392"/>
      <c r="AV44" s="515"/>
      <c r="AW44" s="193"/>
      <c r="AX44" s="335"/>
      <c r="AY44" s="324"/>
      <c r="AZ44" s="307"/>
      <c r="BA44" s="307"/>
      <c r="BB44" s="307"/>
      <c r="BC44" s="307"/>
      <c r="BD44" s="307"/>
      <c r="BE44" s="354"/>
      <c r="BF44" s="354"/>
      <c r="BG44" s="354"/>
      <c r="BH44" s="354"/>
      <c r="BI44" s="354"/>
      <c r="BJ44" s="354"/>
      <c r="BK44" s="354"/>
      <c r="BL44" s="354"/>
      <c r="BM44" s="354"/>
      <c r="BN44" s="354"/>
      <c r="BO44" s="758"/>
      <c r="BP44" s="354"/>
      <c r="BQ44" s="354"/>
      <c r="BR44" s="213"/>
      <c r="BS44" s="213"/>
      <c r="BT44" s="317"/>
      <c r="BU44" s="317"/>
      <c r="BV44" s="355"/>
      <c r="BW44" s="204"/>
      <c r="BX44" s="18"/>
      <c r="BY44" s="14"/>
      <c r="BZ44" s="645"/>
      <c r="CA44" s="645"/>
      <c r="CB44" s="645"/>
      <c r="CC44" s="13"/>
      <c r="CD44" s="8"/>
      <c r="CE44" s="14"/>
      <c r="CF44" s="13"/>
      <c r="CG44" s="13"/>
      <c r="CH44" s="14"/>
      <c r="CI44" s="13"/>
      <c r="CJ44" s="13"/>
      <c r="CK44" s="14"/>
      <c r="CL44" s="13"/>
      <c r="CM44" s="7"/>
      <c r="CN44" s="7"/>
      <c r="CO44" s="7"/>
    </row>
    <row r="45" spans="1:93" ht="20.100000000000001" customHeight="1">
      <c r="A45" s="194"/>
      <c r="B45" s="1902"/>
      <c r="C45" s="1903" t="str">
        <f>IF('   ASK    '!W23="","",'   ASK    '!W23)</f>
        <v>Concentrates</v>
      </c>
      <c r="D45" s="820"/>
      <c r="E45" s="1903" t="str">
        <f>IF('   ASK    '!Y23="","",'   ASK    '!Y23)</f>
        <v>Maize grain</v>
      </c>
      <c r="F45" s="65"/>
      <c r="G45" s="1898" t="s">
        <v>156</v>
      </c>
      <c r="H45" s="1899"/>
      <c r="I45" s="66"/>
      <c r="J45" s="826"/>
      <c r="K45" s="779"/>
      <c r="L45" s="779"/>
      <c r="M45" s="780"/>
      <c r="N45" s="781"/>
      <c r="O45" s="842"/>
      <c r="P45" s="834"/>
      <c r="Q45" s="194"/>
      <c r="R45" s="659" t="str">
        <f>IF(OR($C45="-",$G45="-",$J45&lt;=0,$J$53="No"),"",$J45)</f>
        <v/>
      </c>
      <c r="S45" s="659">
        <f>IF(OR($C45="-",$G45="-",$J$53="No"),0,1)</f>
        <v>0</v>
      </c>
      <c r="T45" s="194"/>
      <c r="U45" s="194"/>
      <c r="V45" s="655" t="str">
        <f>C45</f>
        <v>Concentrates</v>
      </c>
      <c r="W45" s="733" t="s">
        <v>317</v>
      </c>
      <c r="X45" s="232" t="str">
        <f>IF(OR($E45="-",$G45="-",$J45&lt;=0,$J$53="No"),"",VLOOKUP($G45,'Data source'!$B$128:$C$137,2,FALSE))</f>
        <v/>
      </c>
      <c r="Y45" s="211">
        <f>IF(OR($E45="-",$G45="-",$J45&lt;=0,$J$53="No"),0,J45*X45)</f>
        <v>0</v>
      </c>
      <c r="Z45" s="573" t="str">
        <f>IF(OR($E45="-",$G45="-",$J45&lt;=0,$J$53="No"),"",$R$21)</f>
        <v/>
      </c>
      <c r="AA45" s="224" t="str">
        <f>IF(OR($E45="-",$G45="-",$J45&lt;=0,$J$53="No"),"",VLOOKUP($E45,'Data source'!$B$15:$I$99,2,FALSE))</f>
        <v/>
      </c>
      <c r="AB45" s="233" t="str">
        <f>IF(OR($E45="-",$G45="-",$J45&lt;=0,$J$53="No"),"",Y45*Z45)</f>
        <v/>
      </c>
      <c r="AC45" s="317"/>
      <c r="AD45" s="234" t="str">
        <f>IF(OR($E45="-",$G45="-",$J45&lt;=0,$J$53="No"),"",VLOOKUP($E45,'Data source'!$B$15:$I$99,4,FALSE))</f>
        <v/>
      </c>
      <c r="AE45" s="235" t="str">
        <f>IF(OR($E45="-",$G45="-",$J45&lt;=0,$J$53="No"),"",(($Y45/$Y$49)*AD45))</f>
        <v/>
      </c>
      <c r="AF45" s="94"/>
      <c r="AG45" s="234" t="str">
        <f>IF(OR($E45="-",$G45="-",$J45&lt;=0,$J$53="No"),"",VLOOKUP($E45,'Data source'!$B$15:$I$99,5,FALSE))</f>
        <v/>
      </c>
      <c r="AH45" s="235" t="str">
        <f>IF(OR($E45="-",$G45="-",$J45&lt;=0,$J$53="No"),"",(($Y45/$Y$49)*AG45))</f>
        <v/>
      </c>
      <c r="AI45" s="105"/>
      <c r="AJ45" s="234" t="str">
        <f>IF(OR($E45="-",$G45="-",$J45&lt;=0,$J$53="No"),"",VLOOKUP($E45,'Data source'!$B$15:$I$99,6,FALSE))</f>
        <v/>
      </c>
      <c r="AK45" s="235" t="str">
        <f>IF(OR($E45="-",$G45="-",$J45&lt;=0,$J$53="No"),"",(($Y45/$Y$49)*AJ45))</f>
        <v/>
      </c>
      <c r="AL45" s="317"/>
      <c r="AM45" s="234" t="str">
        <f>IF(OR($E45="-",$G45="-",$J45&lt;=0,$J$53="No"),"",VLOOKUP($E45,'Data source'!$B$15:$I$99,7,FALSE))</f>
        <v/>
      </c>
      <c r="AN45" s="235" t="str">
        <f>IF(OR($E45="-",$G45="-",$J45&lt;=0,$J$53="No"),"",(($Y45/$Y$49)*AM45))</f>
        <v/>
      </c>
      <c r="AO45" s="317"/>
      <c r="AP45" s="234" t="str">
        <f>IF(OR($E45="-",$G45="-",$J45&lt;=0,$J$53="No"),"",VLOOKUP($E45,'Data source'!$B$15:$I$99,8,FALSE))</f>
        <v/>
      </c>
      <c r="AQ45" s="235" t="str">
        <f>IF(OR($E45="-",$G45="-",$J45="",$J$53="No"),"",(AP45/100*AN45)*($Y45/$Y$49))</f>
        <v/>
      </c>
      <c r="AR45" s="213"/>
      <c r="AS45" s="234" t="str">
        <f>IF(OR($E45="-",$G45="-",$J45&lt;=0,$J$53="No"),"",VLOOKUP($E45,'Data source'!$B$15:$M$99,12,FALSE))</f>
        <v/>
      </c>
      <c r="AT45" s="224" t="str">
        <f>IF(OR($E45="-",$G45="-",$J45&lt;=0,$J$53="No"),"",IF($AS45="Dry",$O45/$X45/10,IF($AS45="Wet",$O45/($AA45/100)*$X45/10,0)))</f>
        <v/>
      </c>
      <c r="AU45" s="224" t="str">
        <f>IF(OR($E45="-",$G45="-",$J45&lt;=0,$J$53="No"),"",AT45/Z45)</f>
        <v/>
      </c>
      <c r="AV45" s="611" t="str">
        <f>IF(OR($E45="-",$G45="-",$J45&lt;=0,$J$53="No"),"",($AT45*$J45)/100)</f>
        <v/>
      </c>
      <c r="AW45" s="610"/>
      <c r="AX45" s="335"/>
      <c r="AY45" s="234"/>
      <c r="AZ45" s="646" t="str">
        <f>IF(OR($E45="-",$G45="-",$J45&lt;=0,$J$53="No"),"",VLOOKUP($E45,'Data source'!$B$12:$M$99,9,FALSE))</f>
        <v/>
      </c>
      <c r="BA45" s="646"/>
      <c r="BB45" s="646" t="str">
        <f>IF(OR($E45="-",$G45="-",$J45&lt;=0,$J$53="No"),"",VLOOKUP($E45,'Data source'!$B$12:$M$99,10,FALSE))</f>
        <v/>
      </c>
      <c r="BC45" s="646"/>
      <c r="BD45" s="646" t="str">
        <f>IF(OR($E45="-",$G45="-",$J45&lt;=0,$J$53="No"),"",VLOOKUP($E45,'Data source'!$B$12:$M$99,11,FALSE))</f>
        <v/>
      </c>
      <c r="BE45" s="648"/>
      <c r="BF45" s="350"/>
      <c r="BG45" s="350"/>
      <c r="BH45" s="234">
        <f>IF(OR($E45="-",$G45="-",$J45&lt;=0,$J$53="No"),0,VLOOKUP($E45,'Data source'!$B$15:$T$99,13,FALSE))</f>
        <v>0</v>
      </c>
      <c r="BI45" s="224">
        <f>IF(OR($E45="-",$G45="-",$J45&lt;=0,$J$53="No"),0,VLOOKUP($E45,'Data source'!$B$15:$T$99,14,FALSE))</f>
        <v>0</v>
      </c>
      <c r="BJ45" s="224">
        <f>IF(OR($E45="-",$G45="-",$J45&lt;=0,$J$53="No"),0,VLOOKUP($E45,'Data source'!$B$15:$T$99,15,FALSE))</f>
        <v>0</v>
      </c>
      <c r="BK45" s="224">
        <f>IF(OR($E45="-",$G45="-",$J45&lt;=0,$J$53="No"),0,VLOOKUP($E45,'Data source'!$B$15:$T$99,16,FALSE))</f>
        <v>0</v>
      </c>
      <c r="BL45" s="224">
        <f>IF(OR($E45="-",$G45="-",$J45&lt;=0,$J$53="No"),0,VLOOKUP($E45,'Data source'!$B$15:$T$99,17,FALSE))</f>
        <v>0</v>
      </c>
      <c r="BM45" s="224">
        <f>IF(OR($E45="-",$G45="-",$J45&lt;=0,$J$53="No"),0,VLOOKUP($E45,'Data source'!$B$15:$T$99,18,FALSE))</f>
        <v>0</v>
      </c>
      <c r="BN45" s="224">
        <f>IF(OR($E45="-",$G45="-",$J45&lt;=0,$J$53="No"),0,VLOOKUP($E45,'Data source'!$B$15:$T$99,19,FALSE))</f>
        <v>0</v>
      </c>
      <c r="BO45" s="753">
        <f>IF(OR($E45="-",$G45="-",$J45&lt;=0,$J$53="No"),0,((43.498*$BH45)+(25.574*$BI45))-((28.206*$BJ45)+(62.375*$BK45)))*$Y45*10/1000</f>
        <v>0</v>
      </c>
      <c r="BP45" s="333"/>
      <c r="BQ45" s="213"/>
      <c r="BR45" s="213"/>
      <c r="BS45" s="213"/>
      <c r="BT45" s="317"/>
      <c r="BU45" s="317"/>
      <c r="BV45" s="355"/>
      <c r="BW45" s="204"/>
      <c r="BX45" s="18"/>
      <c r="BY45" s="14"/>
      <c r="BZ45" s="645">
        <f>IF($AZ45="",0,$AZ45*$AE45)</f>
        <v>0</v>
      </c>
      <c r="CA45" s="645">
        <f>IF($BB45="",0,$BB45*$AE45)</f>
        <v>0</v>
      </c>
      <c r="CB45" s="645">
        <f>IF($BD45="",0,$BD45*$AE45)</f>
        <v>0</v>
      </c>
      <c r="CC45" s="13"/>
      <c r="CD45" s="13"/>
      <c r="CE45" s="14"/>
      <c r="CF45" s="13"/>
      <c r="CG45" s="13"/>
      <c r="CH45" s="14"/>
      <c r="CI45" s="13"/>
      <c r="CJ45" s="13"/>
      <c r="CK45" s="14"/>
      <c r="CL45" s="13"/>
      <c r="CM45" s="7"/>
      <c r="CN45" s="7"/>
      <c r="CO45" s="7"/>
    </row>
    <row r="46" spans="1:93" ht="20.100000000000001" customHeight="1">
      <c r="A46" s="194"/>
      <c r="B46" s="1902"/>
      <c r="C46" s="1904"/>
      <c r="D46" s="821"/>
      <c r="E46" s="1904"/>
      <c r="F46" s="829"/>
      <c r="G46" s="1900"/>
      <c r="H46" s="1901"/>
      <c r="I46" s="66"/>
      <c r="J46" s="827"/>
      <c r="K46" s="828"/>
      <c r="L46" s="785"/>
      <c r="M46" s="786"/>
      <c r="N46" s="786"/>
      <c r="O46" s="845"/>
      <c r="P46" s="834"/>
      <c r="Q46" s="194"/>
      <c r="R46" s="659" t="str">
        <f>IF(OR($C45="-",$G45="-",$L46&lt;=0,$J$54="No"),"",$L46)</f>
        <v/>
      </c>
      <c r="S46" s="659"/>
      <c r="T46" s="194"/>
      <c r="U46" s="194"/>
      <c r="V46" s="194"/>
      <c r="W46" s="733" t="s">
        <v>318</v>
      </c>
      <c r="X46" s="239" t="str">
        <f>IF(OR($E45="-",$G45="-",$L46&lt;=0,$J$54="No",$AA$6="NO"),"",VLOOKUP($G45,'Data source'!$B$128:$C$137,2,FALSE))</f>
        <v/>
      </c>
      <c r="Y46" s="237">
        <f>IF(OR($E45="-",$G45="-",$L46&lt;=0,$J$54="No",$AA$6="NO"),0,$L46*$X46)</f>
        <v>0</v>
      </c>
      <c r="Z46" s="574" t="str">
        <f>IF(OR($E45="-",$G45="-",$L46&lt;=0,$J$54="No",$AA$6="NO"),"",$R$21)</f>
        <v/>
      </c>
      <c r="AA46" s="237" t="str">
        <f>IF(OR($E45="-",$G45="-",$L46&lt;=0,$J$54="No",$AA$6="NO"),"",VLOOKUP($E45,'Data source'!$B$12:$I$99,2,FALSE))</f>
        <v/>
      </c>
      <c r="AB46" s="238" t="str">
        <f>IF(OR($E45="-",$G45="-",$L46&lt;=0,$J$54="No",$AA$6="NO"),"",$Y46*$Z46)</f>
        <v/>
      </c>
      <c r="AC46" s="317"/>
      <c r="AD46" s="240" t="str">
        <f>IF(OR($E45="-",$G45="-",$L46&lt;=0,$J$54="No",$AA$6="NO"),"",VLOOKUP($E45,'Data source'!$B$12:$I$99,4,FALSE))</f>
        <v/>
      </c>
      <c r="AE46" s="241" t="str">
        <f>IF(OR($E45="-",$G45="-",$L46&lt;=0,$J$54="No",$AA$6="NO"),"",(($Y46/$Y$50)*$AD46))</f>
        <v/>
      </c>
      <c r="AF46" s="94"/>
      <c r="AG46" s="240" t="str">
        <f>IF(OR($E45="-",$G45="-",$L46&lt;=0,$J$54="No",$AA$6="NO"),"",VLOOKUP($E45,'Data source'!$B$12:$I$99,5,FALSE))</f>
        <v/>
      </c>
      <c r="AH46" s="241" t="str">
        <f>IF(OR($E45="-",$G45="-",$L46&lt;=0,$J$54="No",$AA$6="NO"),"",(($Y46/$Y$50)*AG46))</f>
        <v/>
      </c>
      <c r="AI46" s="105"/>
      <c r="AJ46" s="240" t="str">
        <f>IF(OR($E45="-",$G45="-",$L46&lt;=0,$J$54="No",$AA$6="NO"),"",VLOOKUP($E45,'Data source'!$B$12:$I$99,6,FALSE))</f>
        <v/>
      </c>
      <c r="AK46" s="241" t="str">
        <f>IF(OR($E45="-",$G45="-",$L46&lt;=0,$J$54="No",$AA$6="NO"),"",(($Y46/$Y$50)*AJ46))</f>
        <v/>
      </c>
      <c r="AL46" s="317"/>
      <c r="AM46" s="240" t="str">
        <f>IF(OR($E45="-",$G45="-",$L46&lt;=0,$J$54="No",$AA$6="NO"),"",VLOOKUP($E45,'Data source'!$B$12:$I$99,7,FALSE))</f>
        <v/>
      </c>
      <c r="AN46" s="241" t="str">
        <f>IF(OR($E45="-",$G45="-",$L46&lt;=0,$J$54="No",$AA$6="NO"),"",(($Y46/$Y$50)*AM46))</f>
        <v/>
      </c>
      <c r="AO46" s="317"/>
      <c r="AP46" s="240" t="str">
        <f>IF(OR($E45="-",$G45="-",$L46&lt;=0,$J$54="No",$AA$6="NO"),"",VLOOKUP($E45,'Data source'!$B$12:$I$99,8,FALSE))</f>
        <v/>
      </c>
      <c r="AQ46" s="241" t="str">
        <f>IF(OR($E45="-",$G45="-",$L46&lt;=0,$J$54="No",$AA$6="NO"),"",(AP46/100*AN46)*($Y46/$Y$50))</f>
        <v/>
      </c>
      <c r="AR46" s="213"/>
      <c r="AS46" s="609" t="str">
        <f>IF(OR($E45="-",$G45="-",$L46&lt;=0,$J$54="No",$AA$6="NO"),"",VLOOKUP($E45,'Data source'!$B$15:$M$99,12,FALSE))</f>
        <v/>
      </c>
      <c r="AT46" s="237" t="str">
        <f>IF(OR($E45="-",$G45="-",$L46&lt;=0,$J$54="No",$AA$6="NO"),"",IF($AS46="Dry",$O45/$X46/10,IF($AS46="Wet",$O45/($AA46/100)*$X46/10,0)))</f>
        <v/>
      </c>
      <c r="AU46" s="237" t="str">
        <f>IF(OR($E45="-",$G45="-",$L46&lt;=0,$J$54="No",$AA$6="NO"),"",IF(OR($H32="-",$Q46="-",$L46=0),"",AT46/Z46))</f>
        <v/>
      </c>
      <c r="AV46" s="612" t="str">
        <f>IF(OR($E45="-",$G45="-",$L46&lt;=0,$J$54="No",$AA$6="NO"),"",IF(OR($H32="-",$Q46="-",$L46=0),"",($AT46*$L46)/100))</f>
        <v/>
      </c>
      <c r="AW46" s="610"/>
      <c r="AX46" s="335"/>
      <c r="AY46" s="240"/>
      <c r="AZ46" s="647" t="str">
        <f>IF(OR($E45="-",$G45="-",$L46&lt;=0,$J$54="No",$AA$6="NO"),"",VLOOKUP($E45,'Data source'!$B$15:$M$99,9,FALSE))</f>
        <v/>
      </c>
      <c r="BA46" s="647"/>
      <c r="BB46" s="647" t="str">
        <f>IF(OR($E45="-",$G45="-",$L46&lt;=0,$J$54="No",$AA$6="NO"),"",VLOOKUP($E45,'Data source'!$B$15:$M$99,10,FALSE))</f>
        <v/>
      </c>
      <c r="BC46" s="647"/>
      <c r="BD46" s="647" t="str">
        <f>IF(OR($E45="-",$G45="-",$L46&lt;=0,$J$54="No",$AA$6="NO"),"",VLOOKUP($E45,'Data source'!$B$15:$M$99,11,FALSE))</f>
        <v/>
      </c>
      <c r="BE46" s="648"/>
      <c r="BF46" s="350"/>
      <c r="BG46" s="350"/>
      <c r="BH46" s="240">
        <f>IF(OR($E45="-",$G45="-",$L46&lt;=0,$J$54="No",$AA$6="NO"),0,VLOOKUP($E45,'Data source'!$B$15:$T$99,13,FALSE))</f>
        <v>0</v>
      </c>
      <c r="BI46" s="237">
        <f>IF(OR($E45="-",$G45="-",$L46&lt;=0,$J$54="No",$AA$6="NO"),0,VLOOKUP($E45,'Data source'!$B$15:$T$99,14,FALSE))</f>
        <v>0</v>
      </c>
      <c r="BJ46" s="237">
        <f>IF(OR($E45="-",$G45="-",$L46&lt;=0,$J$54="No",$AA$6="NO"),0,VLOOKUP($E45,'Data source'!$B$15:$T$99,15,FALSE))</f>
        <v>0</v>
      </c>
      <c r="BK46" s="237">
        <f>IF(OR($E45="-",$G45="-",$L46&lt;=0,$J$54="No",$AA$6="NO"),0,VLOOKUP($E45,'Data source'!$B$15:$T$99,16,FALSE))</f>
        <v>0</v>
      </c>
      <c r="BL46" s="237">
        <f>IF(OR($E45="-",$G45="-",$L46&lt;=0,$J$54="No",$AA$6="NO"),0,VLOOKUP($E45,'Data source'!$B$15:$T$99,17,FALSE))</f>
        <v>0</v>
      </c>
      <c r="BM46" s="237">
        <f>IF(OR($E45="-",$G45="-",$L46&lt;=0,$J$54="No",$AA$6="NO"),0,VLOOKUP($E45,'Data source'!$B$15:$T$99,18,FALSE))</f>
        <v>0</v>
      </c>
      <c r="BN46" s="237">
        <f>IF(OR($E45="-",$G45="-",$L46&lt;=0,$J$54="No",$AA$6="NO"),0,VLOOKUP($E45,'Data source'!$B$15:$T$99,19,FALSE))</f>
        <v>0</v>
      </c>
      <c r="BO46" s="754">
        <f>IF(OR($E45="-",$G45="-",$L46&lt;=0,$J$54="No",$AA$6="NO"),0,((43.498*$BH46)+(25.574*$BI46))-((28.206*$BJ46)+(62.375*$BK46)))*$Y46*10/1000</f>
        <v>0</v>
      </c>
      <c r="BP46" s="317"/>
      <c r="BQ46" s="317"/>
      <c r="BR46" s="317"/>
      <c r="BS46" s="317"/>
      <c r="BT46" s="317"/>
      <c r="BU46" s="317"/>
      <c r="BV46" s="193"/>
      <c r="BW46" s="193"/>
      <c r="BZ46" s="645">
        <f>IF($AZ46="",0,$AZ46*$AE46)</f>
        <v>0</v>
      </c>
      <c r="CA46" s="645">
        <f>IF($BB46="",0,$BB46*$AE46)</f>
        <v>0</v>
      </c>
      <c r="CB46" s="645">
        <f>IF($BD46="",0,$BD46*$AE46)</f>
        <v>0</v>
      </c>
    </row>
    <row r="47" spans="1:93" ht="19.5" customHeight="1">
      <c r="A47" s="194"/>
      <c r="B47" s="836"/>
      <c r="C47" s="775"/>
      <c r="D47" s="598"/>
      <c r="E47" s="598"/>
      <c r="F47" s="598"/>
      <c r="G47" s="66"/>
      <c r="H47" s="598"/>
      <c r="I47" s="66"/>
      <c r="J47" s="66"/>
      <c r="K47" s="66"/>
      <c r="L47" s="600"/>
      <c r="M47" s="603"/>
      <c r="N47" s="51"/>
      <c r="O47" s="594"/>
      <c r="P47" s="834"/>
      <c r="Q47" s="194"/>
      <c r="R47" s="659"/>
      <c r="S47" s="659"/>
      <c r="T47" s="194"/>
      <c r="U47" s="194"/>
      <c r="V47" s="654"/>
      <c r="W47" s="194"/>
      <c r="X47" s="522"/>
      <c r="Y47" s="324"/>
      <c r="Z47" s="324"/>
      <c r="AA47" s="324"/>
      <c r="AB47" s="307"/>
      <c r="AC47" s="317"/>
      <c r="AD47" s="324"/>
      <c r="AE47" s="324"/>
      <c r="AF47" s="317"/>
      <c r="AG47" s="324"/>
      <c r="AH47" s="324"/>
      <c r="AI47" s="213"/>
      <c r="AJ47" s="324"/>
      <c r="AK47" s="324"/>
      <c r="AL47" s="317"/>
      <c r="AM47" s="324"/>
      <c r="AN47" s="324"/>
      <c r="AO47" s="317"/>
      <c r="AP47" s="324"/>
      <c r="AQ47" s="324"/>
      <c r="AR47" s="213"/>
      <c r="AS47" s="429"/>
      <c r="AT47" s="324"/>
      <c r="AU47" s="392"/>
      <c r="AV47" s="515"/>
      <c r="AW47" s="193"/>
      <c r="AX47" s="335"/>
      <c r="AY47" s="324"/>
      <c r="AZ47" s="307"/>
      <c r="BA47" s="307"/>
      <c r="BB47" s="307"/>
      <c r="BC47" s="307"/>
      <c r="BD47" s="307"/>
      <c r="BE47" s="324"/>
      <c r="BF47" s="324"/>
      <c r="BG47" s="324"/>
      <c r="BH47" s="324"/>
      <c r="BI47" s="324"/>
      <c r="BJ47" s="324"/>
      <c r="BK47" s="324"/>
      <c r="BL47" s="324"/>
      <c r="BM47" s="324"/>
      <c r="BN47" s="324"/>
      <c r="BO47" s="757"/>
      <c r="BP47" s="333"/>
      <c r="BQ47" s="213"/>
      <c r="BR47" s="213"/>
      <c r="BS47" s="213"/>
      <c r="BT47" s="317"/>
      <c r="BU47" s="317"/>
      <c r="BV47" s="353"/>
      <c r="BW47" s="204"/>
      <c r="BX47" s="7"/>
      <c r="BY47" s="13"/>
      <c r="BZ47" s="645"/>
      <c r="CA47" s="645"/>
      <c r="CB47" s="645"/>
      <c r="CC47" s="13"/>
      <c r="CD47" s="8"/>
      <c r="CE47" s="13"/>
      <c r="CF47" s="13"/>
      <c r="CG47" s="8"/>
      <c r="CH47" s="13"/>
      <c r="CI47" s="13"/>
      <c r="CJ47" s="7"/>
      <c r="CK47" s="13"/>
      <c r="CL47" s="13"/>
      <c r="CM47" s="7"/>
      <c r="CN47" s="7"/>
      <c r="CO47" s="7"/>
    </row>
    <row r="48" spans="1:93" ht="16.5" customHeight="1">
      <c r="A48" s="194"/>
      <c r="B48" s="837"/>
      <c r="C48" s="594"/>
      <c r="D48" s="594"/>
      <c r="E48" s="594"/>
      <c r="F48" s="594"/>
      <c r="G48" s="56"/>
      <c r="H48" s="56"/>
      <c r="I48" s="66"/>
      <c r="J48" s="30" t="s">
        <v>254</v>
      </c>
      <c r="K48" s="66"/>
      <c r="L48" s="772" t="s">
        <v>254</v>
      </c>
      <c r="M48" s="73"/>
      <c r="N48" s="51"/>
      <c r="O48" s="594"/>
      <c r="P48" s="834"/>
      <c r="Q48" s="194"/>
      <c r="R48" s="659"/>
      <c r="S48" s="659"/>
      <c r="T48" s="194"/>
      <c r="U48" s="318"/>
      <c r="V48" s="194"/>
      <c r="W48" s="317"/>
      <c r="X48" s="509"/>
      <c r="Y48" s="333"/>
      <c r="Z48" s="333"/>
      <c r="AA48" s="333"/>
      <c r="AB48" s="317"/>
      <c r="AC48" s="510"/>
      <c r="AD48" s="511"/>
      <c r="AE48" s="333"/>
      <c r="AF48" s="317"/>
      <c r="AG48" s="317"/>
      <c r="AH48" s="317"/>
      <c r="AI48" s="324"/>
      <c r="AJ48" s="317"/>
      <c r="AK48" s="317"/>
      <c r="AL48" s="317"/>
      <c r="AM48" s="317"/>
      <c r="AN48" s="317"/>
      <c r="AO48" s="317"/>
      <c r="AP48" s="317"/>
      <c r="AQ48" s="317"/>
      <c r="AR48" s="213"/>
      <c r="AS48" s="513"/>
      <c r="AT48" s="513"/>
      <c r="AU48" s="514"/>
      <c r="AV48" s="515"/>
      <c r="AW48" s="193"/>
      <c r="AX48" s="335"/>
      <c r="AY48" s="324"/>
      <c r="AZ48" s="324"/>
      <c r="BA48" s="324"/>
      <c r="BB48" s="324"/>
      <c r="BC48" s="324"/>
      <c r="BD48" s="324"/>
      <c r="BE48" s="324"/>
      <c r="BF48" s="324"/>
      <c r="BG48" s="324"/>
      <c r="BH48" s="324"/>
      <c r="BI48" s="324"/>
      <c r="BJ48" s="324"/>
      <c r="BK48" s="324"/>
      <c r="BL48" s="324"/>
      <c r="BM48" s="324"/>
      <c r="BN48" s="324"/>
      <c r="BO48" s="757"/>
      <c r="BP48" s="324"/>
      <c r="BQ48" s="324"/>
      <c r="BR48" s="324"/>
      <c r="BS48" s="324"/>
      <c r="BT48" s="324"/>
      <c r="BU48" s="324"/>
      <c r="BV48" s="353"/>
      <c r="BW48" s="204"/>
      <c r="BX48" s="18"/>
      <c r="BY48" s="13"/>
      <c r="BZ48" s="13"/>
      <c r="CA48" s="7"/>
      <c r="CB48" s="13"/>
      <c r="CC48" s="13"/>
      <c r="CD48" s="13"/>
      <c r="CE48" s="13"/>
      <c r="CF48" s="13"/>
      <c r="CG48" s="13"/>
      <c r="CH48" s="13"/>
      <c r="CI48" s="13"/>
      <c r="CJ48" s="13"/>
      <c r="CK48" s="13"/>
      <c r="CL48" s="13"/>
      <c r="CM48" s="7"/>
      <c r="CN48" s="7"/>
      <c r="CO48" s="7"/>
    </row>
    <row r="49" spans="1:100" ht="20.100000000000001" customHeight="1">
      <c r="A49" s="194"/>
      <c r="B49" s="839"/>
      <c r="C49" s="595"/>
      <c r="D49" s="595"/>
      <c r="E49" s="595"/>
      <c r="F49" s="595"/>
      <c r="G49" s="1905" t="s">
        <v>346</v>
      </c>
      <c r="H49" s="1905"/>
      <c r="I49" s="594"/>
      <c r="J49" s="572" t="str">
        <f>IF($J$53="No","",SUM(R27,R30,R33,R36,R39,R42,R45))</f>
        <v/>
      </c>
      <c r="K49" s="594"/>
      <c r="M49" s="772"/>
      <c r="N49" s="51"/>
      <c r="O49" s="594"/>
      <c r="P49" s="834"/>
      <c r="Q49" s="194"/>
      <c r="R49" s="659"/>
      <c r="S49" s="659"/>
      <c r="T49" s="194"/>
      <c r="U49" s="319"/>
      <c r="V49" s="194"/>
      <c r="W49" s="402" t="s">
        <v>201</v>
      </c>
      <c r="X49" s="403"/>
      <c r="Y49" s="403" t="str">
        <f>IF($J$53="No","",SUM(Y27,Y30,Y33,Y36,Y39,Y42,Y45))</f>
        <v/>
      </c>
      <c r="Z49" s="528"/>
      <c r="AA49" s="529"/>
      <c r="AB49" s="404" t="str">
        <f>IF($J$53="No","",SUM(AB27,AB30,AB33,AB36,AB39,AB42,AB45))</f>
        <v/>
      </c>
      <c r="AC49" s="404"/>
      <c r="AD49" s="405"/>
      <c r="AE49" s="403" t="str">
        <f>IF($J$53="No","",SUM(AE27,AE30,AE33,AE36,AE39,AE42,AE45))</f>
        <v/>
      </c>
      <c r="AF49" s="529"/>
      <c r="AG49" s="529"/>
      <c r="AH49" s="403" t="str">
        <f>IF($J$53="No","",SUM(AH27,AH30,AH33,AH36,AH39,AH42,AH45))</f>
        <v/>
      </c>
      <c r="AI49" s="528"/>
      <c r="AJ49" s="406"/>
      <c r="AK49" s="403" t="str">
        <f>IF($J$53="No","",SUM(AK27,AK30,AK33,AK36,AK39,AK42,AK45))</f>
        <v/>
      </c>
      <c r="AL49" s="531"/>
      <c r="AM49" s="529"/>
      <c r="AN49" s="403" t="str">
        <f>IF($J$53="No","",SUM(AN27,AN30,AN33,AN36,AN39,AN42,AN45))</f>
        <v/>
      </c>
      <c r="AO49" s="403"/>
      <c r="AP49" s="529"/>
      <c r="AQ49" s="403" t="str">
        <f>IF($J$53="No","",SUM(AQ27,AQ30,AQ33,AQ36,AQ39,AQ42,AQ45))</f>
        <v/>
      </c>
      <c r="AR49" s="652"/>
      <c r="AS49" s="652" t="s">
        <v>271</v>
      </c>
      <c r="AT49" s="708" t="e">
        <f>AV49*$O$6</f>
        <v>#VALUE!</v>
      </c>
      <c r="AU49" s="652" t="s">
        <v>270</v>
      </c>
      <c r="AV49" s="706" t="str">
        <f>IF($J$53="No","",SUM(AV27,AV30,AV33,AV36,AV39,AV42,AV45))</f>
        <v/>
      </c>
      <c r="AW49" s="193"/>
      <c r="AX49" s="317"/>
      <c r="AY49" s="652"/>
      <c r="AZ49" s="652" t="str">
        <f>IF($J$53="No","",SUM(BZ27,BZ30,BZ33,BZ36,BZ39,BZ42,BZ45)/AE49)</f>
        <v/>
      </c>
      <c r="BA49" s="652"/>
      <c r="BB49" s="652" t="str">
        <f>IF($J$53="No","",SUM(CA27,CA30,CA33,CA36,CA39,CA42,CA45)/AE49)</f>
        <v/>
      </c>
      <c r="BC49" s="652"/>
      <c r="BD49" s="652" t="str">
        <f>IF($J$53="No","",SUM(CB27,CB30,CB33,CB36,CB39,CB42,CB45)/AE49)</f>
        <v/>
      </c>
      <c r="BE49" s="324"/>
      <c r="BF49" s="365"/>
      <c r="BG49" s="365"/>
      <c r="BH49" s="850" t="str">
        <f t="shared" ref="BH49:BN49" si="2">IF($J$53="No","",IF((SUM(BH27,BH30,BH33,BH36,BH39,BH42,BH45))&gt;0,SUM(BH27,BH30,BH33,BH36,BH39,BH42,BH45)/$Y$49,""))</f>
        <v/>
      </c>
      <c r="BI49" s="850" t="str">
        <f t="shared" si="2"/>
        <v/>
      </c>
      <c r="BJ49" s="850" t="str">
        <f t="shared" si="2"/>
        <v/>
      </c>
      <c r="BK49" s="850" t="str">
        <f t="shared" si="2"/>
        <v/>
      </c>
      <c r="BL49" s="850" t="str">
        <f t="shared" si="2"/>
        <v/>
      </c>
      <c r="BM49" s="850" t="str">
        <f t="shared" si="2"/>
        <v/>
      </c>
      <c r="BN49" s="850" t="str">
        <f t="shared" si="2"/>
        <v/>
      </c>
      <c r="BO49" s="850" t="str">
        <f>IF($J$53="No","",SUM(BO27,BO30,BO33,BO36,BO39,BO42,BO45))</f>
        <v/>
      </c>
      <c r="BP49" s="365"/>
      <c r="BQ49" s="365"/>
      <c r="BR49" s="365"/>
      <c r="BS49" s="365"/>
      <c r="BT49" s="365"/>
      <c r="BU49" s="365"/>
      <c r="BV49" s="353"/>
      <c r="BW49" s="204"/>
      <c r="BX49" s="18"/>
      <c r="BY49" s="13"/>
      <c r="BZ49" s="13"/>
      <c r="CA49" s="7"/>
      <c r="CB49" s="13"/>
      <c r="CC49" s="13"/>
      <c r="CD49" s="13"/>
      <c r="CE49" s="13"/>
      <c r="CF49" s="13"/>
      <c r="CG49" s="13"/>
      <c r="CH49" s="13"/>
      <c r="CI49" s="13"/>
      <c r="CJ49" s="13"/>
      <c r="CK49" s="13"/>
      <c r="CL49" s="13"/>
      <c r="CM49" s="7"/>
      <c r="CN49" s="7"/>
      <c r="CO49" s="7"/>
    </row>
    <row r="50" spans="1:100" ht="20.100000000000001" customHeight="1">
      <c r="A50" s="194"/>
      <c r="B50" s="840"/>
      <c r="C50" s="596"/>
      <c r="D50" s="596"/>
      <c r="E50" s="596"/>
      <c r="F50" s="596"/>
      <c r="H50" s="853" t="s">
        <v>347</v>
      </c>
      <c r="I50" s="853"/>
      <c r="K50" s="66"/>
      <c r="L50" s="773" t="str">
        <f>IF($J$54="No","",SUM(R28,R31,R34,R37,R40,R43,R46))</f>
        <v/>
      </c>
      <c r="M50" s="772"/>
      <c r="N50" s="51"/>
      <c r="O50" s="594"/>
      <c r="P50" s="834"/>
      <c r="Q50" s="194"/>
      <c r="R50" s="659"/>
      <c r="S50" s="659"/>
      <c r="T50" s="194"/>
      <c r="U50" s="319"/>
      <c r="V50" s="194"/>
      <c r="W50" s="402" t="s">
        <v>202</v>
      </c>
      <c r="X50" s="402"/>
      <c r="Y50" s="652" t="str">
        <f>IF($J$54="No","",SUM(Y28,Y31,Y34,Y37,Y40,Y43,Y46))</f>
        <v/>
      </c>
      <c r="Z50" s="402"/>
      <c r="AA50" s="402"/>
      <c r="AB50" s="530" t="str">
        <f>IF($J$54="No","",SUM(AB28,AB31,AB34,AB37,AB40,AB43,AB46))</f>
        <v/>
      </c>
      <c r="AC50" s="402"/>
      <c r="AD50" s="402"/>
      <c r="AE50" s="652" t="str">
        <f>IF($J$54="No","",SUM(AE28,AE31,AE34,AE37,AE40,AE43,AE46))</f>
        <v/>
      </c>
      <c r="AF50" s="402"/>
      <c r="AG50" s="402"/>
      <c r="AH50" s="652" t="str">
        <f>IF($J$54="No","",SUM(AH28,AH31,AH34,AH37,AH40,AH43,AH46))</f>
        <v/>
      </c>
      <c r="AI50" s="402"/>
      <c r="AJ50" s="402"/>
      <c r="AK50" s="652" t="str">
        <f>IF($J$54="No","",SUM(AK28,AK31,AK34,AK37,AK40,AK43,AK46))</f>
        <v/>
      </c>
      <c r="AL50" s="402"/>
      <c r="AM50" s="402"/>
      <c r="AN50" s="652" t="str">
        <f>IF($J$54="No","",SUM(AN28,AN31,AN34,AN37,AN40,AN43,AN46))</f>
        <v/>
      </c>
      <c r="AO50" s="402"/>
      <c r="AP50" s="402"/>
      <c r="AQ50" s="652" t="str">
        <f>IF($J$54="No","",SUM(AQ28,AQ31,AQ34,AQ37,AQ40,AQ43,AQ46))</f>
        <v/>
      </c>
      <c r="AR50" s="652"/>
      <c r="AS50" s="652"/>
      <c r="AT50" s="707" t="e">
        <f>AV50*O6</f>
        <v>#VALUE!</v>
      </c>
      <c r="AU50" s="652"/>
      <c r="AV50" s="652" t="str">
        <f>IF($J$54="No","",SUM(AV28,AV31,AV34,AV37,AV40,AV43,AV46))</f>
        <v/>
      </c>
      <c r="AW50" s="193"/>
      <c r="AX50" s="317"/>
      <c r="AY50" s="652"/>
      <c r="AZ50" s="652" t="str">
        <f>IF($J$54="No","",SUM(BZ28,BZ31,BZ34,BZ37,BZ40,BZ43,BZ46)/AE50)</f>
        <v/>
      </c>
      <c r="BA50" s="652"/>
      <c r="BB50" s="652" t="str">
        <f>IF($J$54="No","",SUM(CA28,CA31,CA34,CA37,CA40,CA43,CA46)/AE50)</f>
        <v/>
      </c>
      <c r="BC50" s="652"/>
      <c r="BD50" s="652" t="str">
        <f>IF($J$54="No","",SUM(CB28,CB31,CB34,CB37,CB40,CB43,CB46)/AE50)</f>
        <v/>
      </c>
      <c r="BE50" s="324"/>
      <c r="BF50" s="365"/>
      <c r="BG50" s="365"/>
      <c r="BH50" s="850" t="str">
        <f t="shared" ref="BH50:BN50" si="3">IF($J$54="No","",IF((SUM(BH28,BH31,BH34,BH37,BH40,BH43,BH46))&gt;0,SUM(BH28,BH31,BH34,BH37,BH40,BH43,BH46)/$Y$50,""))</f>
        <v/>
      </c>
      <c r="BI50" s="850" t="str">
        <f t="shared" si="3"/>
        <v/>
      </c>
      <c r="BJ50" s="850" t="str">
        <f t="shared" si="3"/>
        <v/>
      </c>
      <c r="BK50" s="850" t="str">
        <f t="shared" si="3"/>
        <v/>
      </c>
      <c r="BL50" s="850" t="str">
        <f t="shared" si="3"/>
        <v/>
      </c>
      <c r="BM50" s="850" t="str">
        <f t="shared" si="3"/>
        <v/>
      </c>
      <c r="BN50" s="850" t="str">
        <f t="shared" si="3"/>
        <v/>
      </c>
      <c r="BO50" s="850" t="str">
        <f>IF($J$53="No","",SUM(BO28,BO31,BO34,BO37,BO40,BO43,BO46))</f>
        <v/>
      </c>
      <c r="BP50" s="365"/>
      <c r="BQ50" s="365"/>
      <c r="BR50" s="365"/>
      <c r="BS50" s="365"/>
      <c r="BT50" s="365"/>
      <c r="BU50" s="365"/>
      <c r="BV50" s="353"/>
      <c r="BW50" s="204"/>
      <c r="BX50" s="18"/>
      <c r="BY50" s="13"/>
      <c r="BZ50" s="13"/>
      <c r="CA50" s="7"/>
      <c r="CB50" s="13"/>
      <c r="CC50" s="13"/>
      <c r="CD50" s="13"/>
      <c r="CE50" s="13"/>
      <c r="CF50" s="13"/>
      <c r="CG50" s="13"/>
      <c r="CH50" s="13"/>
      <c r="CI50" s="13"/>
      <c r="CJ50" s="13"/>
      <c r="CK50" s="13"/>
      <c r="CL50" s="13"/>
      <c r="CM50" s="7"/>
      <c r="CN50" s="7"/>
      <c r="CO50" s="7"/>
    </row>
    <row r="51" spans="1:100" ht="15.6">
      <c r="A51" s="194"/>
      <c r="B51" s="841"/>
      <c r="C51" s="804"/>
      <c r="D51" s="804"/>
      <c r="E51" s="804"/>
      <c r="F51" s="804"/>
      <c r="G51" s="804"/>
      <c r="H51" s="804"/>
      <c r="I51" s="804"/>
      <c r="J51" s="804"/>
      <c r="K51" s="804"/>
      <c r="L51" s="804"/>
      <c r="M51" s="804"/>
      <c r="N51" s="804"/>
      <c r="O51" s="788"/>
      <c r="P51" s="789"/>
      <c r="Q51" s="194"/>
      <c r="R51" s="659"/>
      <c r="S51" s="659"/>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65"/>
      <c r="BU51" s="365"/>
      <c r="BV51" s="353"/>
      <c r="BW51" s="204"/>
      <c r="CA51" s="5"/>
      <c r="CB51" s="6"/>
      <c r="CC51" s="5"/>
      <c r="CD51" s="5"/>
      <c r="CE51" s="5"/>
      <c r="CF51" s="5"/>
      <c r="CG51" s="6"/>
      <c r="CH51" s="6"/>
      <c r="CI51" s="5"/>
      <c r="CJ51" s="5"/>
      <c r="CK51" s="5"/>
      <c r="CL51" s="5"/>
      <c r="CM51" s="5"/>
      <c r="CN51" s="5"/>
      <c r="CO51" s="5"/>
      <c r="CP51" s="5"/>
      <c r="CQ51" s="5"/>
      <c r="CR51" s="5"/>
      <c r="CS51" s="5"/>
      <c r="CT51" s="6"/>
      <c r="CU51" s="5"/>
      <c r="CV51" s="5"/>
    </row>
    <row r="52" spans="1:100" ht="27" customHeight="1">
      <c r="A52" s="194"/>
      <c r="B52" s="194"/>
      <c r="C52" s="194"/>
      <c r="D52" s="194"/>
      <c r="E52" s="194"/>
      <c r="F52" s="194"/>
      <c r="G52" s="194"/>
      <c r="H52" s="194"/>
      <c r="I52" s="194"/>
      <c r="J52" s="194"/>
      <c r="K52" s="194"/>
      <c r="L52" s="194"/>
      <c r="M52" s="194"/>
      <c r="N52" s="213"/>
      <c r="O52" s="194"/>
      <c r="P52" s="194"/>
      <c r="Q52" s="194"/>
      <c r="R52" s="659"/>
      <c r="S52" s="659"/>
      <c r="T52" s="194"/>
      <c r="U52" s="194"/>
      <c r="V52" s="643" t="s">
        <v>151</v>
      </c>
      <c r="W52" s="643"/>
      <c r="X52" s="643"/>
      <c r="Y52" s="644"/>
      <c r="Z52" s="254"/>
      <c r="AA52" s="254"/>
      <c r="AB52" s="637"/>
      <c r="AC52" s="637"/>
      <c r="AD52" s="254"/>
      <c r="AE52" s="254"/>
      <c r="AF52" s="254"/>
      <c r="AG52" s="254"/>
      <c r="AH52" s="254"/>
      <c r="AI52" s="254"/>
      <c r="AJ52" s="254"/>
      <c r="AK52" s="638"/>
      <c r="AL52" s="638"/>
      <c r="AM52" s="638"/>
      <c r="AN52" s="638"/>
      <c r="AO52" s="638"/>
      <c r="AP52" s="639"/>
      <c r="AQ52" s="639"/>
      <c r="AR52" s="639"/>
      <c r="AS52" s="639"/>
      <c r="AT52" s="639"/>
      <c r="AU52" s="640"/>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365"/>
      <c r="BU52" s="365"/>
      <c r="BV52" s="353"/>
      <c r="BW52" s="204"/>
      <c r="CA52" s="5"/>
      <c r="CB52" s="23"/>
      <c r="CC52" s="5"/>
      <c r="CD52" s="5"/>
      <c r="CE52" s="5"/>
      <c r="CF52" s="5"/>
      <c r="CG52" s="6"/>
      <c r="CH52" s="6"/>
      <c r="CI52" s="5"/>
      <c r="CJ52" s="5"/>
      <c r="CK52" s="5"/>
      <c r="CL52" s="5"/>
      <c r="CM52" s="5"/>
      <c r="CN52" s="5"/>
      <c r="CO52" s="5"/>
      <c r="CP52" s="5"/>
      <c r="CQ52" s="5"/>
      <c r="CR52" s="5"/>
      <c r="CS52" s="5"/>
      <c r="CT52" s="6"/>
      <c r="CU52" s="5"/>
      <c r="CV52" s="5"/>
    </row>
    <row r="53" spans="1:100" ht="18.75" customHeight="1">
      <c r="A53" s="194"/>
      <c r="B53" s="213"/>
      <c r="C53" s="213"/>
      <c r="D53" s="213"/>
      <c r="E53" s="213"/>
      <c r="F53" s="213"/>
      <c r="G53" s="213"/>
      <c r="H53" s="588" t="s">
        <v>248</v>
      </c>
      <c r="I53" s="608" t="s">
        <v>242</v>
      </c>
      <c r="J53" s="604" t="str">
        <f>IF(OR($G$6="-",$G$7="-",$G$8="-",$G$9="-",$G$10="",$O$6="",$O$7="",$O$8="-",$O$9="-",$G$14="-",$G$27="-"),"No","Yes")</f>
        <v>No</v>
      </c>
      <c r="K53" s="194"/>
      <c r="L53" s="194"/>
      <c r="M53" s="194"/>
      <c r="N53" s="194"/>
      <c r="O53" s="194"/>
      <c r="P53" s="194"/>
      <c r="Q53" s="194"/>
      <c r="R53" s="659"/>
      <c r="S53" s="659"/>
      <c r="T53" s="194"/>
      <c r="U53" s="194"/>
      <c r="V53" s="230"/>
      <c r="W53" s="730" t="s">
        <v>120</v>
      </c>
      <c r="X53" s="729"/>
      <c r="Y53" s="650" t="str">
        <f>IF(Z53="Dry matter intake is less than required","Opt.1","")</f>
        <v/>
      </c>
      <c r="Z53" s="576" t="str">
        <f>IF($J$53="Yes",IF($Z$17&lt;-0.5,"Dry matter intake is less than required"," "),"")</f>
        <v/>
      </c>
      <c r="AA53" s="576"/>
      <c r="AB53" s="576"/>
      <c r="AC53" s="576"/>
      <c r="AD53" s="576"/>
      <c r="AE53" s="576"/>
      <c r="AF53" s="576"/>
      <c r="AG53" s="576"/>
      <c r="AH53" s="576"/>
      <c r="AI53" s="576"/>
      <c r="AJ53" s="576"/>
      <c r="AK53" s="576"/>
      <c r="AL53" s="576"/>
      <c r="AM53" s="576"/>
      <c r="AN53" s="576"/>
      <c r="AO53" s="576"/>
      <c r="AP53" s="576"/>
      <c r="AQ53" s="576"/>
      <c r="AR53" s="576"/>
      <c r="AS53" s="576"/>
      <c r="AT53" s="576"/>
      <c r="AU53" s="576"/>
      <c r="AV53" s="576"/>
      <c r="AW53" s="589"/>
      <c r="AX53" s="589"/>
      <c r="AY53" s="589"/>
      <c r="AZ53" s="575"/>
      <c r="BA53" s="575"/>
      <c r="BB53" s="575"/>
      <c r="BC53" s="575"/>
      <c r="BD53" s="575"/>
      <c r="BE53" s="575"/>
      <c r="BF53" s="575"/>
      <c r="BG53" s="575"/>
      <c r="BH53" s="575"/>
      <c r="BI53" s="575"/>
      <c r="BJ53" s="575"/>
      <c r="BK53" s="575"/>
      <c r="BL53" s="575"/>
      <c r="BM53" s="575"/>
      <c r="BN53" s="575"/>
      <c r="BO53" s="575"/>
      <c r="BP53" s="575"/>
      <c r="BQ53" s="575"/>
      <c r="BR53" s="575"/>
      <c r="BS53" s="575"/>
      <c r="BT53" s="365"/>
      <c r="BU53" s="365"/>
      <c r="BV53" s="353"/>
      <c r="BW53" s="204"/>
      <c r="CA53" s="5"/>
      <c r="CB53" s="23"/>
      <c r="CC53" s="5"/>
      <c r="CD53" s="5"/>
      <c r="CE53" s="5"/>
      <c r="CF53" s="5"/>
      <c r="CG53" s="6"/>
      <c r="CH53" s="6"/>
      <c r="CI53" s="5"/>
      <c r="CJ53" s="5"/>
      <c r="CK53" s="5"/>
      <c r="CL53" s="5"/>
      <c r="CM53" s="5"/>
      <c r="CN53" s="5"/>
      <c r="CO53" s="5"/>
      <c r="CP53" s="5"/>
      <c r="CQ53" s="5"/>
      <c r="CR53" s="5"/>
      <c r="CS53" s="5"/>
      <c r="CT53" s="6"/>
      <c r="CU53" s="5"/>
      <c r="CV53" s="5"/>
    </row>
    <row r="54" spans="1:100" ht="18" customHeight="1">
      <c r="A54" s="194"/>
      <c r="B54" s="213"/>
      <c r="C54" s="213"/>
      <c r="D54" s="213"/>
      <c r="E54" s="213"/>
      <c r="F54" s="213"/>
      <c r="G54" s="213"/>
      <c r="H54" s="213"/>
      <c r="I54" s="608" t="s">
        <v>243</v>
      </c>
      <c r="J54" s="604" t="str">
        <f>IF(OR($G$6="-",$G$7="-",$G$8="-",$G$9="-",$G$10="",$O$6="",$O$7="",$O$8="-",$O$9="-",$G$14="-",$G$27="-",$L$28&lt;=0),"No","Yes")</f>
        <v>No</v>
      </c>
      <c r="K54" s="194"/>
      <c r="L54" s="194"/>
      <c r="M54" s="194"/>
      <c r="N54" s="194"/>
      <c r="O54" s="194"/>
      <c r="P54" s="194"/>
      <c r="Q54" s="194"/>
      <c r="R54" s="659"/>
      <c r="S54" s="659"/>
      <c r="T54" s="194"/>
      <c r="U54" s="194"/>
      <c r="V54" s="230"/>
      <c r="W54" s="731"/>
      <c r="X54" s="726"/>
      <c r="Y54" s="650" t="str">
        <f>IF(Z54="Dry matter intake is less than required","Opt.2","")</f>
        <v/>
      </c>
      <c r="Z54" s="576" t="str">
        <f>IF(AND($J$54="Yes",$AA$6="YES"),IF(OR($Z$19&lt;-0.5),"Dry matter intake is less than required"," "),"")</f>
        <v/>
      </c>
      <c r="AA54" s="576"/>
      <c r="AB54" s="576"/>
      <c r="AC54" s="576"/>
      <c r="AD54" s="576"/>
      <c r="AE54" s="576"/>
      <c r="AF54" s="576"/>
      <c r="AG54" s="576"/>
      <c r="AH54" s="576"/>
      <c r="AI54" s="576"/>
      <c r="AJ54" s="576"/>
      <c r="AK54" s="576"/>
      <c r="AL54" s="576"/>
      <c r="AM54" s="576"/>
      <c r="AN54" s="576"/>
      <c r="AO54" s="576"/>
      <c r="AP54" s="576"/>
      <c r="AQ54" s="576"/>
      <c r="AR54" s="576"/>
      <c r="AS54" s="576"/>
      <c r="AT54" s="576"/>
      <c r="AU54" s="576"/>
      <c r="AV54" s="576"/>
      <c r="AW54" s="589"/>
      <c r="AX54" s="589"/>
      <c r="AY54" s="589"/>
      <c r="AZ54" s="575"/>
      <c r="BA54" s="575"/>
      <c r="BB54" s="575"/>
      <c r="BC54" s="575"/>
      <c r="BD54" s="575"/>
      <c r="BE54" s="575"/>
      <c r="BF54" s="575"/>
      <c r="BG54" s="575"/>
      <c r="BH54" s="575"/>
      <c r="BI54" s="575"/>
      <c r="BJ54" s="575"/>
      <c r="BK54" s="575"/>
      <c r="BL54" s="575"/>
      <c r="BM54" s="575"/>
      <c r="BN54" s="575"/>
      <c r="BO54" s="575"/>
      <c r="BP54" s="575"/>
      <c r="BQ54" s="575"/>
      <c r="BR54" s="575"/>
      <c r="BS54" s="575"/>
      <c r="BT54" s="365"/>
      <c r="BU54" s="365"/>
      <c r="BV54" s="353"/>
      <c r="BW54" s="204"/>
      <c r="CA54" s="5"/>
      <c r="CB54" s="23"/>
      <c r="CC54" s="5"/>
      <c r="CD54" s="5"/>
      <c r="CE54" s="5"/>
      <c r="CF54" s="5"/>
      <c r="CG54" s="6"/>
      <c r="CH54" s="6"/>
      <c r="CI54" s="5"/>
      <c r="CJ54" s="5"/>
      <c r="CK54" s="5"/>
      <c r="CL54" s="5"/>
      <c r="CM54" s="5"/>
      <c r="CN54" s="5"/>
      <c r="CO54" s="5"/>
      <c r="CP54" s="5"/>
      <c r="CQ54" s="5"/>
      <c r="CR54" s="5"/>
      <c r="CS54" s="5"/>
      <c r="CT54" s="6"/>
      <c r="CU54" s="5"/>
      <c r="CV54" s="5"/>
    </row>
    <row r="55" spans="1:100" ht="21.75" customHeight="1">
      <c r="A55" s="213"/>
      <c r="B55" s="213"/>
      <c r="C55" s="213"/>
      <c r="D55" s="213"/>
      <c r="E55" s="213"/>
      <c r="F55" s="213"/>
      <c r="G55" s="213"/>
      <c r="H55" s="213"/>
      <c r="I55" s="213"/>
      <c r="J55" s="213"/>
      <c r="K55" s="213"/>
      <c r="L55" s="213"/>
      <c r="M55" s="213"/>
      <c r="N55" s="213"/>
      <c r="O55" s="194"/>
      <c r="P55" s="194"/>
      <c r="Q55" s="194"/>
      <c r="R55" s="659"/>
      <c r="S55" s="659"/>
      <c r="T55" s="194"/>
      <c r="U55" s="194"/>
      <c r="V55" s="230"/>
      <c r="W55" s="253" t="s">
        <v>121</v>
      </c>
      <c r="X55" s="725"/>
      <c r="Y55" s="650" t="str">
        <f>IF(Z55="Protein levels are below recommended values; however, consider costs and benefits before adding additional protein","Opt.1","")</f>
        <v/>
      </c>
      <c r="Z55" s="576" t="str">
        <f>IF($J$53="Yes",IF($AE$16&lt;$AE$14,"Protein levels are below recommended values; however, consider costs and benefits before adding additional protein"," "),"")</f>
        <v/>
      </c>
      <c r="AA55" s="576"/>
      <c r="AB55" s="575"/>
      <c r="AC55" s="575"/>
      <c r="AD55" s="575"/>
      <c r="AE55" s="575"/>
      <c r="AF55" s="575"/>
      <c r="AG55" s="575"/>
      <c r="AH55" s="575"/>
      <c r="AI55" s="575"/>
      <c r="AJ55" s="575"/>
      <c r="AK55" s="575"/>
      <c r="AL55" s="575"/>
      <c r="AM55" s="575"/>
      <c r="AN55" s="575"/>
      <c r="AO55" s="575"/>
      <c r="AP55" s="575"/>
      <c r="AQ55" s="575"/>
      <c r="AR55" s="575"/>
      <c r="AS55" s="575"/>
      <c r="AT55" s="575"/>
      <c r="AU55" s="575"/>
      <c r="AV55" s="575"/>
      <c r="AW55" s="589"/>
      <c r="AX55" s="589"/>
      <c r="AY55" s="589"/>
      <c r="AZ55" s="575"/>
      <c r="BA55" s="575"/>
      <c r="BB55" s="575"/>
      <c r="BC55" s="575"/>
      <c r="BD55" s="575"/>
      <c r="BE55" s="575"/>
      <c r="BF55" s="575"/>
      <c r="BG55" s="575"/>
      <c r="BH55" s="575"/>
      <c r="BI55" s="575"/>
      <c r="BJ55" s="575"/>
      <c r="BK55" s="575"/>
      <c r="BL55" s="575"/>
      <c r="BM55" s="575"/>
      <c r="BN55" s="575"/>
      <c r="BO55" s="575"/>
      <c r="BP55" s="575"/>
      <c r="BQ55" s="575"/>
      <c r="BR55" s="575"/>
      <c r="BS55" s="575"/>
      <c r="BT55" s="365"/>
      <c r="BU55" s="365"/>
      <c r="BV55" s="353"/>
      <c r="BW55" s="204"/>
      <c r="BX55" s="188"/>
      <c r="BY55" s="189"/>
      <c r="BZ55" s="5"/>
      <c r="CA55" s="5"/>
      <c r="CB55" s="5"/>
      <c r="CC55" s="5"/>
      <c r="CD55" s="5"/>
      <c r="CE55" s="5"/>
      <c r="CF55" s="5"/>
      <c r="CG55" s="5"/>
      <c r="CH55" s="5"/>
      <c r="CI55" s="5"/>
      <c r="CJ55" s="6"/>
      <c r="CK55" s="5"/>
      <c r="CL55" s="5"/>
    </row>
    <row r="56" spans="1:100" ht="18" customHeight="1">
      <c r="A56" s="213"/>
      <c r="B56" s="213"/>
      <c r="C56" s="213"/>
      <c r="D56" s="213"/>
      <c r="E56" s="213"/>
      <c r="F56" s="213"/>
      <c r="G56" s="213"/>
      <c r="H56" s="213"/>
      <c r="I56" s="213"/>
      <c r="J56" s="213"/>
      <c r="K56" s="213"/>
      <c r="L56" s="213"/>
      <c r="M56" s="213"/>
      <c r="N56" s="213"/>
      <c r="O56" s="194"/>
      <c r="P56" s="194"/>
      <c r="Q56" s="194"/>
      <c r="R56" s="659"/>
      <c r="S56" s="659"/>
      <c r="T56" s="194"/>
      <c r="U56" s="194"/>
      <c r="V56" s="230"/>
      <c r="W56" s="710"/>
      <c r="X56" s="727"/>
      <c r="Y56" s="650" t="str">
        <f>IF(Z56="Protein levels are below recommended values; however, consider costs and benefits before adding additional protein","Opt.2","")</f>
        <v/>
      </c>
      <c r="Z56" s="576" t="str">
        <f>IF(AND($J$54="Yes",$AA$6="YES"),IF($AE$18&lt;$AE$14,"Protein levels are below recommended values; however, consider costs and benefits before adding additional protein"," "),"")</f>
        <v/>
      </c>
      <c r="AA56" s="576"/>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89"/>
      <c r="AX56" s="589"/>
      <c r="AY56" s="589"/>
      <c r="AZ56" s="575"/>
      <c r="BA56" s="575"/>
      <c r="BB56" s="575"/>
      <c r="BC56" s="575"/>
      <c r="BD56" s="575"/>
      <c r="BE56" s="575"/>
      <c r="BF56" s="575"/>
      <c r="BG56" s="575"/>
      <c r="BH56" s="575"/>
      <c r="BI56" s="575"/>
      <c r="BJ56" s="575"/>
      <c r="BK56" s="575"/>
      <c r="BL56" s="575"/>
      <c r="BM56" s="575"/>
      <c r="BN56" s="575"/>
      <c r="BO56" s="575"/>
      <c r="BP56" s="575"/>
      <c r="BQ56" s="575"/>
      <c r="BR56" s="575"/>
      <c r="BS56" s="575"/>
      <c r="BT56" s="365"/>
      <c r="BU56" s="365"/>
      <c r="BV56" s="353"/>
      <c r="BW56" s="204"/>
      <c r="BX56" s="188"/>
      <c r="BY56" s="189"/>
      <c r="BZ56" s="5"/>
      <c r="CA56" s="5"/>
      <c r="CB56" s="5"/>
      <c r="CC56" s="5"/>
      <c r="CD56" s="5"/>
      <c r="CE56" s="5"/>
      <c r="CF56" s="5"/>
      <c r="CG56" s="5"/>
      <c r="CH56" s="5"/>
      <c r="CI56" s="5"/>
      <c r="CJ56" s="6"/>
      <c r="CK56" s="5"/>
      <c r="CL56" s="5"/>
    </row>
    <row r="57" spans="1:100" ht="18" customHeight="1">
      <c r="A57" s="194"/>
      <c r="B57" s="194"/>
      <c r="C57" s="194"/>
      <c r="D57" s="194"/>
      <c r="E57" s="194"/>
      <c r="F57" s="194"/>
      <c r="G57" s="194"/>
      <c r="H57" s="194"/>
      <c r="I57" s="194"/>
      <c r="J57" s="194"/>
      <c r="K57" s="194"/>
      <c r="L57" s="194"/>
      <c r="M57" s="194"/>
      <c r="N57" s="194"/>
      <c r="O57" s="194"/>
      <c r="P57" s="194"/>
      <c r="Q57" s="194"/>
      <c r="R57" s="659"/>
      <c r="S57" s="659"/>
      <c r="T57" s="194"/>
      <c r="U57" s="194"/>
      <c r="V57" s="230"/>
      <c r="W57" s="257" t="s">
        <v>12</v>
      </c>
      <c r="X57" s="728"/>
      <c r="Y57" s="650" t="str">
        <f>IF(Z57="Neutral detergent fibre levels are below recommended value. Add more fibre to the diet (e.g. silage/pasture) or reduce starch based supplements","Opt.1","")</f>
        <v/>
      </c>
      <c r="Z57" s="576" t="str">
        <f>IF($J$53="Yes",IF($AH$16&lt;=35,"Neutral detergent fibre levels are below recommended value. Add more fibre to the diet (e.g. silage/pasture) or reduce starch based supplements"," "),"")</f>
        <v/>
      </c>
      <c r="AA57" s="576"/>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89"/>
      <c r="AX57" s="589"/>
      <c r="AY57" s="589"/>
      <c r="AZ57" s="575"/>
      <c r="BA57" s="575"/>
      <c r="BB57" s="575"/>
      <c r="BC57" s="575"/>
      <c r="BD57" s="575"/>
      <c r="BE57" s="575"/>
      <c r="BF57" s="575"/>
      <c r="BG57" s="575"/>
      <c r="BH57" s="575"/>
      <c r="BI57" s="575"/>
      <c r="BJ57" s="575"/>
      <c r="BK57" s="575"/>
      <c r="BL57" s="575"/>
      <c r="BM57" s="575"/>
      <c r="BN57" s="575"/>
      <c r="BO57" s="575"/>
      <c r="BP57" s="575"/>
      <c r="BQ57" s="575"/>
      <c r="BR57" s="575"/>
      <c r="BS57" s="575"/>
      <c r="BT57" s="365"/>
      <c r="BU57" s="365"/>
      <c r="BV57" s="353"/>
      <c r="BW57" s="204"/>
      <c r="CA57" s="5"/>
      <c r="CB57" s="6"/>
      <c r="CC57" s="5"/>
      <c r="CD57" s="5"/>
      <c r="CE57" s="5"/>
      <c r="CF57" s="5"/>
      <c r="CG57" s="6"/>
      <c r="CH57" s="6"/>
      <c r="CI57" s="5"/>
      <c r="CJ57" s="5"/>
      <c r="CK57" s="5"/>
      <c r="CL57" s="5"/>
      <c r="CM57" s="5"/>
      <c r="CN57" s="5"/>
      <c r="CO57" s="5"/>
      <c r="CP57" s="5"/>
      <c r="CQ57" s="5"/>
      <c r="CR57" s="5"/>
      <c r="CS57" s="5"/>
      <c r="CT57" s="6"/>
      <c r="CU57" s="5"/>
      <c r="CV57" s="5"/>
    </row>
    <row r="58" spans="1:100" ht="19.5" customHeight="1">
      <c r="A58" s="194"/>
      <c r="B58" s="194"/>
      <c r="C58" s="194"/>
      <c r="D58" s="194"/>
      <c r="E58" s="194"/>
      <c r="F58" s="194"/>
      <c r="G58" s="194"/>
      <c r="H58" s="194"/>
      <c r="I58" s="194"/>
      <c r="J58" s="194"/>
      <c r="K58" s="194"/>
      <c r="L58" s="194"/>
      <c r="M58" s="194"/>
      <c r="N58" s="194"/>
      <c r="O58" s="194"/>
      <c r="P58" s="194"/>
      <c r="Q58" s="194"/>
      <c r="R58" s="659"/>
      <c r="S58" s="659"/>
      <c r="T58" s="194"/>
      <c r="U58" s="194"/>
      <c r="V58" s="230"/>
      <c r="W58" s="731"/>
      <c r="X58" s="726"/>
      <c r="Y58" s="650" t="str">
        <f>IF(Z58="Neutral detergent fibre levels are below recommended value. Add more fibre to the diet (e.g. silage/pasture) or reduce starch based supplements","Opt.2","")</f>
        <v/>
      </c>
      <c r="Z58" s="576" t="str">
        <f>IF(AND($J$54="Yes",$AA$6="YES"),IF($AH$18&lt;=35,"Neutral detergent fibre levels are below recommended value. Add more fibre to the diet (e.g. silage/pasture) or reduce starch based supplements"," "),"")</f>
        <v/>
      </c>
      <c r="AA58" s="576"/>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89"/>
      <c r="AX58" s="589"/>
      <c r="AY58" s="589"/>
      <c r="AZ58" s="575"/>
      <c r="BA58" s="575"/>
      <c r="BB58" s="575"/>
      <c r="BC58" s="575"/>
      <c r="BD58" s="575"/>
      <c r="BE58" s="575"/>
      <c r="BF58" s="575"/>
      <c r="BG58" s="575"/>
      <c r="BH58" s="575"/>
      <c r="BI58" s="575"/>
      <c r="BJ58" s="575"/>
      <c r="BK58" s="575"/>
      <c r="BL58" s="575"/>
      <c r="BM58" s="575"/>
      <c r="BN58" s="575"/>
      <c r="BO58" s="575"/>
      <c r="BP58" s="575"/>
      <c r="BQ58" s="575"/>
      <c r="BR58" s="575"/>
      <c r="BS58" s="575"/>
      <c r="BT58" s="365"/>
      <c r="BU58" s="365"/>
      <c r="BV58" s="353"/>
      <c r="BW58" s="204"/>
      <c r="CA58" s="5"/>
      <c r="CB58" s="6"/>
      <c r="CC58" s="5"/>
      <c r="CD58" s="5"/>
      <c r="CE58" s="5"/>
      <c r="CF58" s="5"/>
      <c r="CG58" s="6"/>
      <c r="CH58" s="6"/>
      <c r="CI58" s="5"/>
      <c r="CJ58" s="5"/>
      <c r="CK58" s="5"/>
      <c r="CL58" s="5"/>
      <c r="CM58" s="5"/>
      <c r="CN58" s="5"/>
      <c r="CO58" s="5"/>
      <c r="CP58" s="5"/>
      <c r="CQ58" s="5"/>
      <c r="CR58" s="5"/>
      <c r="CS58" s="5"/>
      <c r="CT58" s="6"/>
      <c r="CU58" s="5"/>
      <c r="CV58" s="5"/>
    </row>
    <row r="59" spans="1:100" ht="18.75" customHeight="1">
      <c r="A59" s="194"/>
      <c r="B59" s="194"/>
      <c r="C59" s="194"/>
      <c r="D59" s="194"/>
      <c r="E59" s="194"/>
      <c r="F59" s="194"/>
      <c r="G59" s="194"/>
      <c r="H59" s="194"/>
      <c r="I59" s="194"/>
      <c r="J59" s="194"/>
      <c r="K59" s="194"/>
      <c r="L59" s="194"/>
      <c r="M59" s="194"/>
      <c r="N59" s="194"/>
      <c r="O59" s="194"/>
      <c r="P59" s="194"/>
      <c r="Q59" s="194"/>
      <c r="R59" s="659"/>
      <c r="S59" s="659"/>
      <c r="T59" s="194"/>
      <c r="U59" s="194"/>
      <c r="V59" s="230"/>
      <c r="W59" s="257" t="s">
        <v>122</v>
      </c>
      <c r="X59" s="728"/>
      <c r="Y59" s="650" t="str">
        <f>IF(Z59="Soluble sugar and starch levels are greater than reccomended. Reduce supplements high in starch or sugars (e.g. barley/maize grain","Opt.1","")</f>
        <v/>
      </c>
      <c r="Z59" s="576" t="str">
        <f>IF($J$53="Yes",IF($AK$16&gt;=38,"Soluble sugar and starch levels are greater than reccomended. Reduce supplements high in starch or sugars (e.g. barley/maize grain"," "),"")</f>
        <v/>
      </c>
      <c r="AA59" s="576"/>
      <c r="AB59" s="576"/>
      <c r="AC59" s="576"/>
      <c r="AD59" s="576"/>
      <c r="AE59" s="576"/>
      <c r="AF59" s="576"/>
      <c r="AG59" s="576"/>
      <c r="AH59" s="576"/>
      <c r="AI59" s="576"/>
      <c r="AJ59" s="576"/>
      <c r="AK59" s="576"/>
      <c r="AL59" s="576"/>
      <c r="AM59" s="576"/>
      <c r="AN59" s="576"/>
      <c r="AO59" s="576"/>
      <c r="AP59" s="576"/>
      <c r="AQ59" s="576"/>
      <c r="AR59" s="576"/>
      <c r="AS59" s="576"/>
      <c r="AT59" s="576"/>
      <c r="AU59" s="576"/>
      <c r="AV59" s="576"/>
      <c r="AW59" s="576"/>
      <c r="AX59" s="576"/>
      <c r="AY59" s="576"/>
      <c r="AZ59" s="576"/>
      <c r="BA59" s="576"/>
      <c r="BB59" s="576"/>
      <c r="BC59" s="576"/>
      <c r="BD59" s="576"/>
      <c r="BE59" s="575"/>
      <c r="BF59" s="575"/>
      <c r="BG59" s="575"/>
      <c r="BH59" s="575"/>
      <c r="BI59" s="575"/>
      <c r="BJ59" s="575"/>
      <c r="BK59" s="575"/>
      <c r="BL59" s="575"/>
      <c r="BM59" s="575"/>
      <c r="BN59" s="575"/>
      <c r="BO59" s="575"/>
      <c r="BP59" s="575"/>
      <c r="BQ59" s="575"/>
      <c r="BR59" s="575"/>
      <c r="BS59" s="575"/>
      <c r="BT59" s="365"/>
      <c r="BU59" s="365"/>
      <c r="BV59" s="353"/>
      <c r="BW59" s="204"/>
    </row>
    <row r="60" spans="1:100" ht="18" customHeight="1">
      <c r="A60" s="194"/>
      <c r="B60" s="194"/>
      <c r="C60" s="194"/>
      <c r="D60" s="194"/>
      <c r="E60" s="194"/>
      <c r="F60" s="194"/>
      <c r="G60" s="194"/>
      <c r="H60" s="194"/>
      <c r="I60" s="194"/>
      <c r="J60" s="194"/>
      <c r="K60" s="194"/>
      <c r="L60" s="194"/>
      <c r="M60" s="194"/>
      <c r="N60" s="194"/>
      <c r="O60" s="194"/>
      <c r="P60" s="194"/>
      <c r="Q60" s="194"/>
      <c r="R60" s="659"/>
      <c r="S60" s="659"/>
      <c r="T60" s="194"/>
      <c r="U60" s="194"/>
      <c r="V60" s="230"/>
      <c r="W60" s="731"/>
      <c r="X60" s="726"/>
      <c r="Y60" s="650" t="str">
        <f>IF(Z60="Soluble sugar and starch levels are greater than reccomended. Reduce supplements high in starch or sugars (e.g. barley/maize grain","Opt.2","")</f>
        <v/>
      </c>
      <c r="Z60" s="576" t="str">
        <f>IF(AND($J$54="Yes",$AA$6="YES"),IF($AK$18&gt;=38,"Soluble sugar and starch levels are greater than reccomended. Reduce supplements high in starch or sugars (e.g. barley/maize grain"," "),"")</f>
        <v/>
      </c>
      <c r="AA60" s="576"/>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89"/>
      <c r="AX60" s="589"/>
      <c r="AY60" s="589"/>
      <c r="AZ60" s="575"/>
      <c r="BA60" s="575"/>
      <c r="BB60" s="575"/>
      <c r="BC60" s="575"/>
      <c r="BD60" s="575"/>
      <c r="BE60" s="575"/>
      <c r="BF60" s="575"/>
      <c r="BG60" s="575"/>
      <c r="BH60" s="575"/>
      <c r="BI60" s="575"/>
      <c r="BJ60" s="575"/>
      <c r="BK60" s="575"/>
      <c r="BL60" s="575"/>
      <c r="BM60" s="575"/>
      <c r="BN60" s="575"/>
      <c r="BO60" s="575"/>
      <c r="BP60" s="575"/>
      <c r="BQ60" s="575"/>
      <c r="BR60" s="575"/>
      <c r="BS60" s="575"/>
      <c r="BT60" s="365"/>
      <c r="BU60" s="365"/>
      <c r="BV60" s="353"/>
      <c r="BW60" s="204"/>
    </row>
    <row r="61" spans="1:100" ht="17.25" customHeight="1">
      <c r="A61" s="194"/>
      <c r="B61" s="194"/>
      <c r="C61" s="194"/>
      <c r="D61" s="194"/>
      <c r="E61" s="194"/>
      <c r="F61" s="194"/>
      <c r="G61" s="194"/>
      <c r="H61" s="194"/>
      <c r="I61" s="194"/>
      <c r="J61" s="194"/>
      <c r="K61" s="194"/>
      <c r="L61" s="194"/>
      <c r="M61" s="194"/>
      <c r="N61" s="194"/>
      <c r="O61" s="194"/>
      <c r="P61" s="194"/>
      <c r="Q61" s="194"/>
      <c r="R61" s="659"/>
      <c r="S61" s="659"/>
      <c r="T61" s="194"/>
      <c r="U61" s="194"/>
      <c r="V61" s="230"/>
      <c r="W61" s="257" t="s">
        <v>118</v>
      </c>
      <c r="X61" s="728"/>
      <c r="Y61" s="650" t="str">
        <f>IF(Z61="Starch levels in the diet are greater than reccomended. Reduce supplements that are high in starch (e.g. barley or wheat)","Opt.1","")</f>
        <v/>
      </c>
      <c r="Z61" s="576" t="str">
        <f>IF($J$53="Yes",IF(AN16&gt;=30,"Starch levels in the diet are greater than reccomended. Reduce supplements that are high in starch (e.g. barley or wheat)"," "),"")</f>
        <v/>
      </c>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89"/>
      <c r="AX61" s="589"/>
      <c r="AY61" s="589"/>
      <c r="AZ61" s="575"/>
      <c r="BA61" s="575"/>
      <c r="BB61" s="575"/>
      <c r="BC61" s="575"/>
      <c r="BD61" s="575"/>
      <c r="BE61" s="575"/>
      <c r="BF61" s="575"/>
      <c r="BG61" s="575"/>
      <c r="BH61" s="575"/>
      <c r="BI61" s="575"/>
      <c r="BJ61" s="575"/>
      <c r="BK61" s="575"/>
      <c r="BL61" s="575"/>
      <c r="BM61" s="575"/>
      <c r="BN61" s="575"/>
      <c r="BO61" s="575"/>
      <c r="BP61" s="575"/>
      <c r="BQ61" s="575"/>
      <c r="BR61" s="575"/>
      <c r="BS61" s="575"/>
      <c r="BT61" s="365"/>
      <c r="BU61" s="365"/>
      <c r="BV61" s="353"/>
      <c r="BW61" s="204"/>
    </row>
    <row r="62" spans="1:100" ht="17.25" customHeight="1">
      <c r="A62" s="194"/>
      <c r="B62" s="194"/>
      <c r="C62" s="194"/>
      <c r="D62" s="194"/>
      <c r="E62" s="194"/>
      <c r="F62" s="194"/>
      <c r="G62" s="194"/>
      <c r="H62" s="194"/>
      <c r="I62" s="194"/>
      <c r="J62" s="194"/>
      <c r="K62" s="194"/>
      <c r="L62" s="194"/>
      <c r="M62" s="194"/>
      <c r="N62" s="194"/>
      <c r="O62" s="194"/>
      <c r="P62" s="194"/>
      <c r="Q62" s="194"/>
      <c r="R62" s="659"/>
      <c r="S62" s="659"/>
      <c r="T62" s="194"/>
      <c r="U62" s="194"/>
      <c r="V62" s="230"/>
      <c r="W62" s="731"/>
      <c r="X62" s="726"/>
      <c r="Y62" s="650" t="str">
        <f>IF(Z62="Starch levels in the diet are greater than reccomended. Reduce supplements that are high in starch (e.g. barley or wheat)","Opt.2","")</f>
        <v/>
      </c>
      <c r="Z62" s="576" t="str">
        <f>IF(AND($J$54="Yes",$AA$6="YES"),IF(AN18&gt;=30,"Starch levels in the diet are greater than reccomended. Reduce supplements that are high in starch (e.g. barley or wheat)"," "),"")</f>
        <v/>
      </c>
      <c r="AA62" s="576"/>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89"/>
      <c r="AX62" s="589"/>
      <c r="AY62" s="589"/>
      <c r="AZ62" s="575"/>
      <c r="BA62" s="575"/>
      <c r="BB62" s="575"/>
      <c r="BC62" s="575"/>
      <c r="BD62" s="575"/>
      <c r="BE62" s="575"/>
      <c r="BF62" s="575"/>
      <c r="BG62" s="575"/>
      <c r="BH62" s="575"/>
      <c r="BI62" s="575"/>
      <c r="BJ62" s="575"/>
      <c r="BK62" s="575"/>
      <c r="BL62" s="575"/>
      <c r="BM62" s="575"/>
      <c r="BN62" s="575"/>
      <c r="BO62" s="575"/>
      <c r="BP62" s="575"/>
      <c r="BQ62" s="575"/>
      <c r="BR62" s="575"/>
      <c r="BS62" s="575"/>
      <c r="BT62" s="365"/>
      <c r="BU62" s="365"/>
      <c r="BV62" s="353"/>
      <c r="BW62" s="204"/>
    </row>
    <row r="63" spans="1:100" ht="17.25" customHeight="1">
      <c r="A63" s="194"/>
      <c r="B63" s="194"/>
      <c r="C63" s="194"/>
      <c r="D63" s="194"/>
      <c r="E63" s="194"/>
      <c r="F63" s="194"/>
      <c r="G63" s="194"/>
      <c r="H63" s="194"/>
      <c r="I63" s="194"/>
      <c r="J63" s="194"/>
      <c r="K63" s="194"/>
      <c r="L63" s="194"/>
      <c r="M63" s="194"/>
      <c r="N63" s="194"/>
      <c r="O63" s="194"/>
      <c r="P63" s="194"/>
      <c r="Q63" s="194"/>
      <c r="R63" s="659"/>
      <c r="S63" s="659"/>
      <c r="T63" s="194"/>
      <c r="U63" s="194"/>
      <c r="V63" s="230"/>
      <c r="W63" s="253" t="s">
        <v>119</v>
      </c>
      <c r="X63" s="725"/>
      <c r="Y63" s="650" t="str">
        <f>IF(Z63="Fat levels in the diet are greater than reccomended. Reduce feeds high in unsaturated fats (e.g. sunflower oil)","Opt.1","")</f>
        <v/>
      </c>
      <c r="Z63" s="576" t="str">
        <f>IF(AND($J$54="Yes",$AA$6="YES"),IF(AQ16&gt;=6,"Fat levels in the diet are greater than reccomended. Reduce feeds high in unsaturated fats (e.g. sunflower oil)"," "),"")</f>
        <v/>
      </c>
      <c r="AA63" s="576"/>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89"/>
      <c r="AX63" s="589"/>
      <c r="AY63" s="589"/>
      <c r="AZ63" s="575"/>
      <c r="BA63" s="575"/>
      <c r="BB63" s="575"/>
      <c r="BC63" s="575"/>
      <c r="BD63" s="575"/>
      <c r="BE63" s="575"/>
      <c r="BF63" s="575"/>
      <c r="BG63" s="575"/>
      <c r="BH63" s="575"/>
      <c r="BI63" s="575"/>
      <c r="BJ63" s="575"/>
      <c r="BK63" s="575"/>
      <c r="BL63" s="575"/>
      <c r="BM63" s="575"/>
      <c r="BN63" s="575"/>
      <c r="BO63" s="575"/>
      <c r="BP63" s="575"/>
      <c r="BQ63" s="575"/>
      <c r="BR63" s="575"/>
      <c r="BS63" s="575"/>
      <c r="BT63" s="365"/>
      <c r="BU63" s="365"/>
      <c r="BV63" s="353"/>
      <c r="BW63" s="204"/>
    </row>
    <row r="64" spans="1:100">
      <c r="A64" s="194"/>
      <c r="B64" s="194"/>
      <c r="C64" s="194"/>
      <c r="D64" s="194"/>
      <c r="E64" s="194"/>
      <c r="F64" s="194"/>
      <c r="G64" s="194"/>
      <c r="H64" s="194"/>
      <c r="I64" s="194"/>
      <c r="J64" s="194"/>
      <c r="K64" s="194"/>
      <c r="L64" s="194"/>
      <c r="M64" s="194"/>
      <c r="N64" s="194"/>
      <c r="O64" s="194"/>
      <c r="P64" s="194"/>
      <c r="Q64" s="194"/>
      <c r="R64" s="659"/>
      <c r="S64" s="659"/>
      <c r="T64" s="194"/>
      <c r="U64" s="194"/>
      <c r="V64" s="230"/>
      <c r="W64" s="731"/>
      <c r="X64" s="726"/>
      <c r="Y64" s="650" t="str">
        <f>IF(Z64="Fat levels in the diet are greater than reccomended. Reduce feeds high in unsaturated fats (e.g. sunflower oil)","Opt.2","")</f>
        <v/>
      </c>
      <c r="Z64" s="576" t="str">
        <f>IF($J$54="Yes",IF(AQ18&gt;=6,"Fat levels in the diet are greater than reccomended. Reduce feeds high in unsaturated fats (e.g. sunflower oil)"," "),"")</f>
        <v/>
      </c>
      <c r="AA64" s="576"/>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365"/>
      <c r="BU64" s="365"/>
      <c r="BV64" s="353"/>
      <c r="BW64" s="204"/>
    </row>
    <row r="65" spans="1:75" ht="6.75" customHeight="1">
      <c r="A65" s="194"/>
      <c r="B65" s="194"/>
      <c r="C65" s="194"/>
      <c r="D65" s="194"/>
      <c r="E65" s="194"/>
      <c r="F65" s="194"/>
      <c r="G65" s="194"/>
      <c r="H65" s="194"/>
      <c r="I65" s="194"/>
      <c r="J65" s="194"/>
      <c r="K65" s="194"/>
      <c r="L65" s="194"/>
      <c r="M65" s="194"/>
      <c r="N65" s="194"/>
      <c r="O65" s="194"/>
      <c r="P65" s="194"/>
      <c r="Q65" s="194"/>
      <c r="R65" s="659"/>
      <c r="S65" s="659"/>
      <c r="T65" s="194"/>
      <c r="U65" s="194"/>
      <c r="V65" s="230"/>
      <c r="W65" s="253"/>
      <c r="X65" s="254"/>
      <c r="Y65" s="590"/>
      <c r="Z65" s="590"/>
      <c r="AA65" s="607"/>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89"/>
      <c r="AX65" s="589"/>
      <c r="AY65" s="589"/>
      <c r="AZ65" s="575"/>
      <c r="BA65" s="575"/>
      <c r="BB65" s="575"/>
      <c r="BC65" s="575"/>
      <c r="BD65" s="575"/>
      <c r="BE65" s="575"/>
      <c r="BF65" s="575"/>
      <c r="BG65" s="575"/>
      <c r="BH65" s="575"/>
      <c r="BI65" s="575"/>
      <c r="BJ65" s="575"/>
      <c r="BK65" s="575"/>
      <c r="BL65" s="575"/>
      <c r="BM65" s="575"/>
      <c r="BN65" s="575"/>
      <c r="BO65" s="575"/>
      <c r="BP65" s="575"/>
      <c r="BQ65" s="575"/>
      <c r="BR65" s="575"/>
      <c r="BS65" s="575"/>
      <c r="BT65" s="365"/>
      <c r="BU65" s="365"/>
      <c r="BV65" s="353"/>
      <c r="BW65" s="204"/>
    </row>
    <row r="66" spans="1:75" ht="21" customHeight="1">
      <c r="A66" s="194"/>
      <c r="B66" s="194"/>
      <c r="C66" s="194"/>
      <c r="D66" s="194"/>
      <c r="E66" s="194"/>
      <c r="F66" s="194"/>
      <c r="G66" s="194"/>
      <c r="H66" s="194"/>
      <c r="I66" s="194"/>
      <c r="J66" s="194"/>
      <c r="K66" s="194"/>
      <c r="L66" s="194"/>
      <c r="M66" s="194"/>
      <c r="N66" s="194"/>
      <c r="O66" s="194"/>
      <c r="P66" s="194"/>
      <c r="Q66" s="194"/>
      <c r="R66" s="659"/>
      <c r="S66" s="659"/>
      <c r="T66" s="194"/>
      <c r="U66" s="194"/>
      <c r="V66" s="641" t="str">
        <f>IF($AA$8="YES","TOTAL PROTEIN","")</f>
        <v>TOTAL PROTEIN</v>
      </c>
      <c r="W66" s="641"/>
      <c r="X66" s="641"/>
      <c r="Y66" s="590"/>
      <c r="Z66" s="590"/>
      <c r="AA66" s="590" t="str">
        <f>IF(OR(AF16&lt;AF14,AF18&lt;AF14),"Protein levels are below recommended values; however, it is often not economical to use an expensive protein supplement.  See Example in Extra Info  tab"," ")</f>
        <v xml:space="preserve"> </v>
      </c>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365"/>
      <c r="BU66" s="365"/>
      <c r="BV66" s="353"/>
      <c r="BW66" s="193"/>
    </row>
    <row r="67" spans="1:75" ht="17.25" customHeight="1">
      <c r="A67" s="194"/>
      <c r="B67" s="194"/>
      <c r="C67" s="194"/>
      <c r="D67" s="194"/>
      <c r="E67" s="194"/>
      <c r="F67" s="194"/>
      <c r="G67" s="194"/>
      <c r="H67" s="194"/>
      <c r="I67" s="194"/>
      <c r="J67" s="194"/>
      <c r="K67" s="194"/>
      <c r="L67" s="194"/>
      <c r="M67" s="194"/>
      <c r="N67" s="194"/>
      <c r="O67" s="194"/>
      <c r="P67" s="194"/>
      <c r="Q67" s="194"/>
      <c r="R67" s="659"/>
      <c r="S67" s="659"/>
      <c r="T67" s="194"/>
      <c r="U67" s="194"/>
      <c r="V67" s="650"/>
      <c r="W67" s="253" t="str">
        <f>IF($AA$8="YES","UDP","")</f>
        <v>UDP</v>
      </c>
      <c r="X67" s="650"/>
      <c r="Y67" s="650" t="str">
        <f>IF(OR(Z67="Check that data in Data Source is complete, UDP + RDP should = 100% ",Z67="UDP levels are below recommended values; however, other factors such as passage rate and total dietary protein content need to be taken into account.  See FeedRight TechNote 15 for more information"),"Opt.1","")</f>
        <v/>
      </c>
      <c r="Z67" s="650" t="str">
        <f>IF($J$53="Yes",IF(($AZ$49+$BD$49)&lt;100,"Check that data in Data Source is complete, UDP + RDP should = 100% ",IF(AZ49&lt;=35,"UDP levels are below recommended values; however, other factors such as passage rate and total dietary protein content need to be taken into account.  See FeedRight TechNote 15 for more information","")),"")</f>
        <v/>
      </c>
      <c r="AA67" s="65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365"/>
      <c r="BU67" s="365"/>
      <c r="BV67" s="193"/>
      <c r="BW67" s="193"/>
    </row>
    <row r="68" spans="1:75" ht="17.25" customHeight="1">
      <c r="A68" s="194"/>
      <c r="B68" s="194"/>
      <c r="C68" s="194"/>
      <c r="D68" s="194"/>
      <c r="E68" s="194"/>
      <c r="F68" s="194"/>
      <c r="G68" s="194"/>
      <c r="H68" s="194"/>
      <c r="I68" s="194"/>
      <c r="J68" s="194"/>
      <c r="K68" s="194"/>
      <c r="L68" s="194"/>
      <c r="M68" s="194"/>
      <c r="N68" s="194"/>
      <c r="O68" s="194"/>
      <c r="P68" s="194"/>
      <c r="Q68" s="194"/>
      <c r="R68" s="659"/>
      <c r="S68" s="659"/>
      <c r="T68" s="194"/>
      <c r="U68" s="194"/>
      <c r="V68" s="650"/>
      <c r="W68" s="732"/>
      <c r="X68" s="650"/>
      <c r="Y68" s="650" t="str">
        <f>IF(OR(Z68="Check that data in Data Source is complete, UDP + RDP should = 100% ",Z68="UDP levels are below recommended values; however, other factors such as passage rate and total dietary protein content need to be taken into account.  See FeedRight TechNote 15 for more information"),"Opt.2","")</f>
        <v/>
      </c>
      <c r="Z68" s="650" t="str">
        <f>IF(AND($J$54="Yes",$AA$6="YES"),IF(($AZ$50+$BD$50)&lt;100,"Check that data in Data Source is complete, UDP + RDP should = 100% ",IF($AZ$50&lt;=35,"UDP levels are below recommended values; however, other factors such as passage rate and total dietary protein content need to be taken into account.  See FeedRight TechNote 15 for more information","")),"")</f>
        <v/>
      </c>
      <c r="AA68" s="65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365"/>
      <c r="BU68" s="365"/>
      <c r="BV68" s="193"/>
      <c r="BW68" s="193"/>
    </row>
    <row r="69" spans="1:75" ht="17.25" customHeight="1">
      <c r="A69" s="194"/>
      <c r="B69" s="194"/>
      <c r="C69" s="194"/>
      <c r="D69" s="194"/>
      <c r="E69" s="194"/>
      <c r="F69" s="194"/>
      <c r="G69" s="194"/>
      <c r="H69" s="194"/>
      <c r="I69" s="194"/>
      <c r="J69" s="194"/>
      <c r="K69" s="194"/>
      <c r="L69" s="194"/>
      <c r="M69" s="194"/>
      <c r="N69" s="194"/>
      <c r="O69" s="194"/>
      <c r="P69" s="194"/>
      <c r="Q69" s="194"/>
      <c r="R69" s="659"/>
      <c r="S69" s="659"/>
      <c r="T69" s="194"/>
      <c r="U69" s="194"/>
      <c r="V69" s="650"/>
      <c r="W69" s="253" t="str">
        <f>IF($AA$8="YES","Soluble","")</f>
        <v>Soluble</v>
      </c>
      <c r="X69" s="650"/>
      <c r="Y69" s="650" t="str">
        <f>IF(OR(Z69="Check that data in Data Source is complete, UDP + RDP should = 100% ",Z69="Soluble protein levels are below recommended values; however, other factors such as passage rate and total dietary protein content need to be taken into account.  See FeedRight TechNote 15 for more information"),"Opt.1","")</f>
        <v/>
      </c>
      <c r="Z69" s="650" t="str">
        <f>IF($J$53="Yes",IF(($AZ$49+$BD$49)&lt;100,"Check that data in Data Source is complete, UDP + RDP should = 100% ",IF(BB49&lt;=32,"Soluble protein levels are below recommended values; however, other factors such as passage rate and total dietary protein content need to be taken into account.  See FeedRight TechNote 15 for more information","")),"")</f>
        <v/>
      </c>
      <c r="AA69" s="65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365"/>
      <c r="BU69" s="365"/>
      <c r="BV69" s="193"/>
      <c r="BW69" s="193"/>
    </row>
    <row r="70" spans="1:75" ht="17.25" customHeight="1">
      <c r="A70" s="194"/>
      <c r="B70" s="194"/>
      <c r="C70" s="194"/>
      <c r="D70" s="194"/>
      <c r="E70" s="194"/>
      <c r="F70" s="194"/>
      <c r="G70" s="194"/>
      <c r="H70" s="194"/>
      <c r="I70" s="194"/>
      <c r="J70" s="194"/>
      <c r="K70" s="194"/>
      <c r="L70" s="194"/>
      <c r="M70" s="194"/>
      <c r="N70" s="194"/>
      <c r="O70" s="194"/>
      <c r="P70" s="194"/>
      <c r="Q70" s="194"/>
      <c r="R70" s="659"/>
      <c r="S70" s="659"/>
      <c r="T70" s="194"/>
      <c r="U70" s="194"/>
      <c r="V70" s="650"/>
      <c r="W70" s="732"/>
      <c r="X70" s="650"/>
      <c r="Y70" s="650" t="str">
        <f>IF(OR(Z70="Check that data in Data Source is complete, UDP + RDP should = 100% ",Z70="Soluble protein levels are below recommended values; however, other factors such as passage rate and total dietary protein content need to be taken into account.  See FeedRight TechNote 15 for more information"),"Opt.2","")</f>
        <v/>
      </c>
      <c r="Z70" s="650" t="str">
        <f>IF(AND($J$54="Yes",$AA$6="YES"),IF(($AZ$50+$BD$50)&lt;100,"Check that data in Data Source is complete, UDP + RDP should = 100% ",IF(BB50&lt;=32,"Soluble protein levels are below recommended values; however, other factors such as passage rate and total dietary protein content need to be taken into account.  See FeedRight TechNote 15 for more information","")),"")</f>
        <v/>
      </c>
      <c r="AA70" s="65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365"/>
      <c r="BU70" s="365"/>
      <c r="BV70" s="193"/>
      <c r="BW70" s="193"/>
    </row>
    <row r="71" spans="1:75" ht="17.25" customHeight="1">
      <c r="A71" s="194"/>
      <c r="B71" s="194"/>
      <c r="C71" s="194"/>
      <c r="D71" s="194"/>
      <c r="E71" s="194"/>
      <c r="F71" s="194"/>
      <c r="G71" s="194"/>
      <c r="H71" s="194"/>
      <c r="I71" s="194"/>
      <c r="J71" s="194"/>
      <c r="K71" s="194"/>
      <c r="L71" s="194"/>
      <c r="M71" s="194"/>
      <c r="N71" s="194"/>
      <c r="O71" s="194"/>
      <c r="P71" s="194"/>
      <c r="Q71" s="194"/>
      <c r="R71" s="659"/>
      <c r="S71" s="659"/>
      <c r="T71" s="194"/>
      <c r="U71" s="194"/>
      <c r="V71" s="650"/>
      <c r="W71" s="253" t="str">
        <f>IF($AA$8="YES","RDP","")</f>
        <v>RDP</v>
      </c>
      <c r="X71" s="650"/>
      <c r="Y71" s="650" t="str">
        <f>IF(OR(Z71="Check that data in Data Source is complete, UDP + RDP should = 100% ",Z71="RDP levels are above recommended values; however, other factors such as passage rate and total dietary protein content need to be taken into account before dietary changes are made.  See FeedRight TechNote 15 for more information"),"Opt.1","")</f>
        <v/>
      </c>
      <c r="Z71" s="650" t="str">
        <f>IF($J$53="Yes",IF(($AZ$49+$BD$49)&lt;100,"Check that data in Data Source is complete, UDP + RDP should = 100% ",IF($BD$49&gt;=65,"RDP levels are above recommended values; however, other factors such as passage rate and total dietary protein content need to be taken into account before dietary changes are made.  See FeedRight TechNote 15 for more information","")),"")</f>
        <v/>
      </c>
      <c r="AA71" s="65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590"/>
      <c r="BH71" s="590"/>
      <c r="BI71" s="590"/>
      <c r="BJ71" s="590"/>
      <c r="BK71" s="590"/>
      <c r="BL71" s="590"/>
      <c r="BM71" s="590"/>
      <c r="BN71" s="590"/>
      <c r="BO71" s="590"/>
      <c r="BP71" s="590"/>
      <c r="BQ71" s="590"/>
      <c r="BR71" s="590"/>
      <c r="BS71" s="590"/>
      <c r="BT71" s="365"/>
      <c r="BU71" s="365"/>
      <c r="BV71" s="193"/>
      <c r="BW71" s="193"/>
    </row>
    <row r="72" spans="1:75" ht="17.25" customHeight="1">
      <c r="A72" s="194"/>
      <c r="B72" s="194"/>
      <c r="C72" s="194"/>
      <c r="D72" s="194"/>
      <c r="E72" s="194"/>
      <c r="F72" s="194"/>
      <c r="G72" s="194"/>
      <c r="H72" s="194"/>
      <c r="I72" s="194"/>
      <c r="J72" s="194"/>
      <c r="K72" s="194"/>
      <c r="L72" s="194"/>
      <c r="M72" s="194"/>
      <c r="N72" s="194"/>
      <c r="O72" s="194"/>
      <c r="P72" s="194"/>
      <c r="Q72" s="194"/>
      <c r="R72" s="659"/>
      <c r="S72" s="659"/>
      <c r="T72" s="194"/>
      <c r="U72" s="194"/>
      <c r="V72" s="650"/>
      <c r="W72" s="650"/>
      <c r="X72" s="650"/>
      <c r="Y72" s="650" t="str">
        <f>IF(OR(Z72="Check that data in Data Source is complete, UDP + RDP should = 100% ",Z72="RDP levels are above recommended values; however, other factors such as passage rate and total dietary protein content need to be taken into account before dietary changes are made.  See FeedRight TechNote 15 for more information"),"Opt.2","")</f>
        <v/>
      </c>
      <c r="Z72" s="650" t="str">
        <f>IF(AND($J$54="Yes",$AA$6="YES"),IF(($AZ$50+$BD$50)&lt;100,"Check that data in Data Source is complete, UDP + RDP should = 100% ",IF($BD$50&gt;=65,"RDP levels are above recommended values; however, other factors such as passage rate and total dietary protein content need to be taken into account before dietary changes are made.  See FeedRight TechNote 15 for more information","")),"")</f>
        <v/>
      </c>
      <c r="AA72" s="65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90"/>
      <c r="BR72" s="590"/>
      <c r="BS72" s="590"/>
      <c r="BT72" s="365"/>
      <c r="BU72" s="365"/>
      <c r="BV72" s="193"/>
      <c r="BW72" s="193"/>
    </row>
    <row r="73" spans="1:75" ht="13.5" customHeight="1">
      <c r="A73" s="194"/>
      <c r="B73" s="194"/>
      <c r="C73" s="194"/>
      <c r="D73" s="194"/>
      <c r="E73" s="194"/>
      <c r="F73" s="194"/>
      <c r="G73" s="194"/>
      <c r="H73" s="194"/>
      <c r="I73" s="194"/>
      <c r="J73" s="194"/>
      <c r="K73" s="194"/>
      <c r="L73" s="194"/>
      <c r="M73" s="194"/>
      <c r="N73" s="194"/>
      <c r="O73" s="194"/>
      <c r="P73" s="194"/>
      <c r="Q73" s="194"/>
      <c r="R73" s="659"/>
      <c r="S73" s="659"/>
      <c r="T73" s="194"/>
      <c r="U73" s="194"/>
      <c r="V73" s="650" t="str">
        <f>IF($AA$8="YES","RDP = rumen degradable protein","")</f>
        <v>RDP = rumen degradable protein</v>
      </c>
      <c r="W73" s="650"/>
      <c r="X73" s="650"/>
      <c r="Y73" s="650"/>
      <c r="Z73" s="650"/>
      <c r="AA73" s="65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365"/>
      <c r="BU73" s="365"/>
      <c r="BV73" s="193"/>
      <c r="BW73" s="193"/>
    </row>
    <row r="74" spans="1:75">
      <c r="A74" s="194"/>
      <c r="B74" s="194"/>
      <c r="C74" s="194"/>
      <c r="D74" s="194"/>
      <c r="E74" s="194"/>
      <c r="F74" s="194"/>
      <c r="G74" s="194"/>
      <c r="H74" s="194"/>
      <c r="I74" s="194"/>
      <c r="J74" s="194"/>
      <c r="K74" s="194"/>
      <c r="L74" s="194"/>
      <c r="M74" s="194"/>
      <c r="N74" s="194"/>
      <c r="O74" s="194"/>
      <c r="P74" s="194"/>
      <c r="Q74" s="194"/>
      <c r="R74" s="659"/>
      <c r="S74" s="659"/>
      <c r="T74" s="194"/>
      <c r="U74" s="194"/>
      <c r="V74" s="650" t="str">
        <f>IF($AA$8="YES","UDP =unegradable dietary protein","")</f>
        <v>UDP =unegradable dietary protein</v>
      </c>
      <c r="W74" s="650"/>
      <c r="X74" s="650"/>
      <c r="Y74" s="650"/>
      <c r="Z74" s="650"/>
      <c r="AA74" s="650"/>
      <c r="AB74" s="642"/>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365"/>
      <c r="BU74" s="365"/>
      <c r="BV74" s="193"/>
      <c r="BW74" s="193"/>
    </row>
    <row r="75" spans="1:75">
      <c r="A75" s="194"/>
      <c r="B75" s="194"/>
      <c r="C75" s="194"/>
      <c r="D75" s="194"/>
      <c r="E75" s="194"/>
      <c r="F75" s="194"/>
      <c r="G75" s="194"/>
      <c r="H75" s="194"/>
      <c r="I75" s="194"/>
      <c r="J75" s="194"/>
      <c r="K75" s="194"/>
      <c r="L75" s="194"/>
      <c r="M75" s="194"/>
      <c r="N75" s="194"/>
      <c r="O75" s="194"/>
      <c r="P75" s="194"/>
      <c r="Q75" s="194"/>
      <c r="R75" s="659"/>
      <c r="S75" s="659"/>
      <c r="T75" s="194"/>
      <c r="U75" s="194"/>
      <c r="V75" s="650"/>
      <c r="W75" s="650"/>
      <c r="X75" s="650"/>
      <c r="Y75" s="650"/>
      <c r="Z75" s="650"/>
      <c r="AA75" s="650"/>
      <c r="AB75" s="642"/>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365"/>
      <c r="BU75" s="365"/>
      <c r="BV75" s="193"/>
      <c r="BW75" s="193"/>
    </row>
    <row r="76" spans="1:75">
      <c r="A76" s="194"/>
      <c r="B76" s="194"/>
      <c r="C76" s="194"/>
      <c r="D76" s="194"/>
      <c r="E76" s="194"/>
      <c r="F76" s="194"/>
      <c r="G76" s="194"/>
      <c r="H76" s="194"/>
      <c r="I76" s="194"/>
      <c r="J76" s="194"/>
      <c r="K76" s="194"/>
      <c r="L76" s="194"/>
      <c r="M76" s="194"/>
      <c r="N76" s="194"/>
      <c r="O76" s="194"/>
      <c r="P76" s="194"/>
      <c r="Q76" s="194"/>
      <c r="R76" s="660"/>
      <c r="S76" s="660"/>
      <c r="T76" s="194"/>
      <c r="U76" s="194"/>
      <c r="V76" s="650"/>
      <c r="W76" s="650"/>
      <c r="X76" s="650"/>
      <c r="Y76" s="650"/>
      <c r="Z76" s="650"/>
      <c r="AA76" s="65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365"/>
      <c r="BU76" s="365"/>
      <c r="BV76" s="193"/>
      <c r="BW76" s="193"/>
    </row>
    <row r="77" spans="1:75">
      <c r="A77" s="194"/>
      <c r="B77" s="194"/>
      <c r="C77" s="194"/>
      <c r="D77" s="194"/>
      <c r="E77" s="194"/>
      <c r="F77" s="194"/>
      <c r="G77" s="194"/>
      <c r="H77" s="194"/>
      <c r="I77" s="194"/>
      <c r="J77" s="194"/>
      <c r="K77" s="194"/>
      <c r="L77" s="194"/>
      <c r="M77" s="194"/>
      <c r="N77" s="194"/>
      <c r="O77" s="194"/>
      <c r="P77" s="194"/>
      <c r="Q77" s="194"/>
      <c r="R77" s="660"/>
      <c r="S77" s="660"/>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365"/>
      <c r="BU77" s="365"/>
      <c r="BV77" s="193"/>
      <c r="BW77" s="193"/>
    </row>
    <row r="78" spans="1:75">
      <c r="A78" s="194"/>
      <c r="B78" s="194"/>
      <c r="C78" s="194"/>
      <c r="D78" s="194"/>
      <c r="E78" s="194"/>
      <c r="F78" s="194"/>
      <c r="G78" s="194"/>
      <c r="H78" s="194"/>
      <c r="I78" s="194"/>
      <c r="J78" s="194"/>
      <c r="K78" s="194"/>
      <c r="L78" s="194"/>
      <c r="M78" s="194"/>
      <c r="N78" s="194"/>
      <c r="O78" s="194"/>
      <c r="P78" s="194"/>
      <c r="Q78" s="194"/>
      <c r="R78" s="660"/>
      <c r="S78" s="660"/>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c r="BM78" s="194"/>
      <c r="BN78" s="194"/>
      <c r="BO78" s="194"/>
      <c r="BP78" s="194"/>
      <c r="BQ78" s="194"/>
      <c r="BR78" s="194"/>
      <c r="BS78" s="194"/>
      <c r="BT78" s="365"/>
      <c r="BU78" s="365"/>
      <c r="BV78" s="193"/>
      <c r="BW78" s="193"/>
    </row>
    <row r="79" spans="1:75">
      <c r="A79" s="194"/>
      <c r="B79" s="194"/>
      <c r="C79" s="194"/>
      <c r="D79" s="194"/>
      <c r="E79" s="194"/>
      <c r="F79" s="194"/>
      <c r="G79" s="194"/>
      <c r="H79" s="194"/>
      <c r="I79" s="194"/>
      <c r="J79" s="194"/>
      <c r="K79" s="194"/>
      <c r="L79" s="194"/>
      <c r="M79" s="194"/>
      <c r="N79" s="194"/>
      <c r="O79" s="194"/>
      <c r="P79" s="194"/>
      <c r="Q79" s="194"/>
      <c r="R79" s="660"/>
      <c r="S79" s="660"/>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c r="BM79" s="194"/>
      <c r="BN79" s="194"/>
      <c r="BO79" s="194"/>
      <c r="BP79" s="194"/>
      <c r="BQ79" s="194"/>
      <c r="BR79" s="194"/>
      <c r="BS79" s="194"/>
      <c r="BT79" s="365"/>
      <c r="BU79" s="365"/>
      <c r="BV79" s="193"/>
      <c r="BW79" s="193"/>
    </row>
    <row r="80" spans="1:75">
      <c r="A80" s="194"/>
      <c r="B80" s="194"/>
      <c r="C80" s="194"/>
      <c r="D80" s="194"/>
      <c r="E80" s="194"/>
      <c r="F80" s="194"/>
      <c r="G80" s="194"/>
      <c r="H80" s="194"/>
      <c r="I80" s="194"/>
      <c r="J80" s="194"/>
      <c r="K80" s="194"/>
      <c r="L80" s="194"/>
      <c r="M80" s="194"/>
      <c r="N80" s="194"/>
      <c r="O80" s="194"/>
      <c r="P80" s="194"/>
      <c r="Q80" s="194"/>
      <c r="R80" s="660"/>
      <c r="S80" s="660"/>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365"/>
      <c r="BU80" s="365"/>
      <c r="BV80" s="193"/>
      <c r="BW80" s="193"/>
    </row>
    <row r="81" spans="1:75">
      <c r="A81" s="194"/>
      <c r="B81" s="194"/>
      <c r="C81" s="194"/>
      <c r="D81" s="194"/>
      <c r="E81" s="194"/>
      <c r="F81" s="194"/>
      <c r="G81" s="194"/>
      <c r="H81" s="194"/>
      <c r="I81" s="194"/>
      <c r="J81" s="194"/>
      <c r="K81" s="194"/>
      <c r="L81" s="194"/>
      <c r="M81" s="194"/>
      <c r="N81" s="194"/>
      <c r="O81" s="194"/>
      <c r="P81" s="194"/>
      <c r="Q81" s="194"/>
      <c r="R81" s="660"/>
      <c r="S81" s="660"/>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365"/>
      <c r="BU81" s="365"/>
      <c r="BV81" s="193"/>
      <c r="BW81" s="193"/>
    </row>
    <row r="82" spans="1:75">
      <c r="A82" s="194"/>
      <c r="B82" s="194"/>
      <c r="C82" s="194"/>
      <c r="D82" s="194"/>
      <c r="E82" s="194"/>
      <c r="F82" s="194"/>
      <c r="G82" s="194"/>
      <c r="H82" s="194"/>
      <c r="I82" s="194"/>
      <c r="J82" s="194"/>
      <c r="K82" s="194"/>
      <c r="L82" s="194"/>
      <c r="M82" s="194"/>
      <c r="N82" s="194"/>
      <c r="O82" s="194"/>
      <c r="P82" s="194"/>
      <c r="Q82" s="194"/>
      <c r="R82" s="660"/>
      <c r="S82" s="660"/>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365"/>
      <c r="BU82" s="365"/>
      <c r="BV82" s="193"/>
      <c r="BW82" s="193"/>
    </row>
    <row r="83" spans="1:75">
      <c r="A83" s="194"/>
      <c r="B83" s="194"/>
      <c r="C83" s="194"/>
      <c r="D83" s="194"/>
      <c r="E83" s="194"/>
      <c r="F83" s="194"/>
      <c r="G83" s="194"/>
      <c r="H83" s="194"/>
      <c r="I83" s="194"/>
      <c r="J83" s="194"/>
      <c r="K83" s="194"/>
      <c r="L83" s="194"/>
      <c r="M83" s="194"/>
      <c r="N83" s="194"/>
      <c r="O83" s="194"/>
      <c r="P83" s="194"/>
      <c r="Q83" s="194"/>
      <c r="R83" s="660"/>
      <c r="S83" s="660"/>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365"/>
      <c r="BU83" s="365"/>
      <c r="BV83" s="193"/>
      <c r="BW83" s="193"/>
    </row>
    <row r="84" spans="1:75">
      <c r="A84" s="194"/>
      <c r="B84" s="194"/>
      <c r="C84" s="194"/>
      <c r="D84" s="194"/>
      <c r="E84" s="194"/>
      <c r="F84" s="194"/>
      <c r="G84" s="194"/>
      <c r="H84" s="194"/>
      <c r="I84" s="194"/>
      <c r="J84" s="194"/>
      <c r="K84" s="194"/>
      <c r="L84" s="194"/>
      <c r="M84" s="194"/>
      <c r="N84" s="194"/>
      <c r="O84" s="194"/>
      <c r="P84" s="194"/>
      <c r="Q84" s="194"/>
      <c r="R84" s="660"/>
      <c r="S84" s="660"/>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365"/>
      <c r="BU84" s="365"/>
      <c r="BV84" s="193"/>
      <c r="BW84" s="193"/>
    </row>
    <row r="85" spans="1:75">
      <c r="A85" s="194"/>
      <c r="B85" s="194"/>
      <c r="C85" s="194"/>
      <c r="D85" s="194"/>
      <c r="E85" s="194"/>
      <c r="F85" s="194"/>
      <c r="G85" s="194"/>
      <c r="H85" s="194"/>
      <c r="I85" s="194"/>
      <c r="J85" s="194"/>
      <c r="K85" s="194"/>
      <c r="L85" s="194"/>
      <c r="M85" s="194"/>
      <c r="N85" s="194"/>
      <c r="O85" s="194"/>
      <c r="P85" s="194"/>
      <c r="Q85" s="194"/>
      <c r="R85" s="660"/>
      <c r="S85" s="660"/>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365"/>
      <c r="BU85" s="365"/>
      <c r="BV85" s="193"/>
      <c r="BW85" s="193"/>
    </row>
    <row r="86" spans="1:75">
      <c r="A86" s="194"/>
      <c r="B86" s="194"/>
      <c r="C86" s="194"/>
      <c r="D86" s="194"/>
      <c r="E86" s="194"/>
      <c r="F86" s="194"/>
      <c r="G86" s="194"/>
      <c r="H86" s="194"/>
      <c r="I86" s="194"/>
      <c r="J86" s="194"/>
      <c r="K86" s="194"/>
      <c r="L86" s="194"/>
      <c r="M86" s="194"/>
      <c r="N86" s="194"/>
      <c r="O86" s="194"/>
      <c r="P86" s="194"/>
      <c r="Q86" s="194"/>
      <c r="R86" s="660"/>
      <c r="S86" s="660"/>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365"/>
      <c r="BU86" s="365"/>
      <c r="BV86" s="193"/>
      <c r="BW86" s="193"/>
    </row>
    <row r="87" spans="1:75">
      <c r="A87" s="194"/>
      <c r="B87" s="194"/>
      <c r="C87" s="194"/>
      <c r="D87" s="194"/>
      <c r="E87" s="194"/>
      <c r="F87" s="194"/>
      <c r="G87" s="194"/>
      <c r="H87" s="194"/>
      <c r="I87" s="194"/>
      <c r="J87" s="194"/>
      <c r="K87" s="194"/>
      <c r="L87" s="194"/>
      <c r="M87" s="194"/>
      <c r="N87" s="194"/>
      <c r="O87" s="194"/>
      <c r="P87" s="194"/>
      <c r="Q87" s="194"/>
      <c r="R87" s="660"/>
      <c r="S87" s="660"/>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365"/>
      <c r="BU87" s="365"/>
      <c r="BV87" s="193"/>
      <c r="BW87" s="193"/>
    </row>
    <row r="88" spans="1:75">
      <c r="A88" s="194"/>
      <c r="B88" s="194"/>
      <c r="C88" s="194"/>
      <c r="D88" s="194"/>
      <c r="E88" s="194"/>
      <c r="F88" s="194"/>
      <c r="G88" s="194"/>
      <c r="H88" s="194"/>
      <c r="I88" s="194"/>
      <c r="J88" s="194"/>
      <c r="K88" s="194"/>
      <c r="L88" s="194"/>
      <c r="M88" s="194"/>
      <c r="N88" s="194"/>
      <c r="O88" s="194"/>
      <c r="P88" s="194"/>
      <c r="Q88" s="194"/>
      <c r="R88" s="660"/>
      <c r="S88" s="660"/>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365"/>
      <c r="BU88" s="365"/>
      <c r="BV88" s="193"/>
      <c r="BW88" s="193"/>
    </row>
    <row r="89" spans="1:75">
      <c r="A89" s="194"/>
      <c r="B89" s="194"/>
      <c r="C89" s="194"/>
      <c r="D89" s="194"/>
      <c r="E89" s="194"/>
      <c r="F89" s="194"/>
      <c r="G89" s="194"/>
      <c r="H89" s="194"/>
      <c r="I89" s="194"/>
      <c r="J89" s="194"/>
      <c r="K89" s="194"/>
      <c r="L89" s="194"/>
      <c r="M89" s="194"/>
      <c r="N89" s="194"/>
      <c r="O89" s="194"/>
      <c r="P89" s="194"/>
      <c r="Q89" s="194"/>
      <c r="R89" s="660"/>
      <c r="S89" s="660"/>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365"/>
      <c r="BU89" s="365"/>
      <c r="BV89" s="193"/>
      <c r="BW89" s="193"/>
    </row>
    <row r="90" spans="1:75">
      <c r="A90" s="194"/>
      <c r="B90" s="194"/>
      <c r="C90" s="194"/>
      <c r="D90" s="194"/>
      <c r="E90" s="194"/>
      <c r="F90" s="194"/>
      <c r="G90" s="194"/>
      <c r="H90" s="194"/>
      <c r="I90" s="194"/>
      <c r="J90" s="194"/>
      <c r="K90" s="194"/>
      <c r="L90" s="194"/>
      <c r="M90" s="194"/>
      <c r="N90" s="194"/>
      <c r="O90" s="194"/>
      <c r="P90" s="194"/>
      <c r="Q90" s="194"/>
      <c r="R90" s="660"/>
      <c r="S90" s="660"/>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4"/>
      <c r="BT90" s="365"/>
      <c r="BU90" s="365"/>
      <c r="BV90" s="193"/>
      <c r="BW90" s="193"/>
    </row>
    <row r="91" spans="1:75">
      <c r="A91" s="194"/>
      <c r="B91" s="194"/>
      <c r="C91" s="194"/>
      <c r="D91" s="194"/>
      <c r="E91" s="194"/>
      <c r="F91" s="194"/>
      <c r="G91" s="194"/>
      <c r="H91" s="194"/>
      <c r="I91" s="194"/>
      <c r="J91" s="194"/>
      <c r="K91" s="194"/>
      <c r="L91" s="194"/>
      <c r="M91" s="194"/>
      <c r="N91" s="194"/>
      <c r="O91" s="194"/>
      <c r="P91" s="194"/>
      <c r="Q91" s="194"/>
      <c r="R91" s="660"/>
      <c r="S91" s="660"/>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365"/>
      <c r="BU91" s="365"/>
      <c r="BV91" s="193"/>
      <c r="BW91" s="193"/>
    </row>
    <row r="92" spans="1:75">
      <c r="A92" s="194"/>
      <c r="B92" s="194"/>
      <c r="C92" s="194"/>
      <c r="D92" s="194"/>
      <c r="E92" s="194"/>
      <c r="F92" s="194"/>
      <c r="G92" s="194"/>
      <c r="H92" s="194"/>
      <c r="I92" s="194"/>
      <c r="J92" s="194"/>
      <c r="K92" s="194"/>
      <c r="L92" s="194"/>
      <c r="M92" s="194"/>
      <c r="N92" s="194"/>
      <c r="O92" s="194"/>
      <c r="P92" s="194"/>
      <c r="Q92" s="194"/>
      <c r="R92" s="660"/>
      <c r="S92" s="660"/>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365"/>
      <c r="BU92" s="365"/>
      <c r="BV92" s="193"/>
      <c r="BW92" s="193"/>
    </row>
    <row r="93" spans="1:75">
      <c r="A93" s="194"/>
      <c r="B93" s="194"/>
      <c r="C93" s="194"/>
      <c r="D93" s="194"/>
      <c r="E93" s="194"/>
      <c r="F93" s="194"/>
      <c r="G93" s="194"/>
      <c r="H93" s="194"/>
      <c r="I93" s="194"/>
      <c r="J93" s="194"/>
      <c r="K93" s="194"/>
      <c r="L93" s="194"/>
      <c r="M93" s="194"/>
      <c r="N93" s="194"/>
      <c r="O93" s="194"/>
      <c r="P93" s="194"/>
      <c r="Q93" s="194"/>
      <c r="R93" s="660"/>
      <c r="S93" s="660"/>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365"/>
      <c r="BU93" s="365"/>
      <c r="BV93" s="193"/>
      <c r="BW93" s="193"/>
    </row>
    <row r="94" spans="1:75">
      <c r="A94" s="193"/>
      <c r="B94" s="205"/>
      <c r="C94" s="205"/>
      <c r="D94" s="205"/>
      <c r="E94" s="205"/>
      <c r="F94" s="205"/>
      <c r="G94" s="320"/>
      <c r="H94" s="320"/>
      <c r="I94" s="320"/>
      <c r="J94" s="320"/>
      <c r="K94" s="320"/>
      <c r="L94" s="320"/>
      <c r="M94" s="194"/>
      <c r="N94" s="194"/>
      <c r="O94" s="194"/>
      <c r="P94" s="194"/>
      <c r="Q94" s="194"/>
      <c r="R94" s="660"/>
      <c r="S94" s="66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65"/>
      <c r="BU94" s="365"/>
      <c r="BV94" s="193"/>
      <c r="BW94" s="193"/>
    </row>
    <row r="95" spans="1:75">
      <c r="A95" s="193"/>
      <c r="B95" s="205"/>
      <c r="C95" s="205"/>
      <c r="D95" s="205"/>
      <c r="E95" s="205"/>
      <c r="F95" s="205"/>
      <c r="G95" s="320"/>
      <c r="H95" s="320"/>
      <c r="I95" s="320"/>
      <c r="J95" s="320"/>
      <c r="K95" s="320"/>
      <c r="L95" s="320"/>
      <c r="M95" s="194"/>
      <c r="N95" s="194"/>
      <c r="O95" s="194"/>
      <c r="P95" s="194"/>
      <c r="Q95" s="194"/>
      <c r="R95" s="660"/>
      <c r="S95" s="660"/>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c r="BM95" s="320"/>
      <c r="BN95" s="320"/>
      <c r="BO95" s="320"/>
      <c r="BP95" s="320"/>
      <c r="BQ95" s="320"/>
      <c r="BR95" s="320"/>
      <c r="BS95" s="320"/>
      <c r="BT95" s="365"/>
      <c r="BU95" s="365"/>
      <c r="BV95" s="193"/>
      <c r="BW95" s="193"/>
    </row>
    <row r="96" spans="1:75">
      <c r="A96" s="193"/>
      <c r="B96" s="205"/>
      <c r="C96" s="205"/>
      <c r="D96" s="205"/>
      <c r="E96" s="205"/>
      <c r="F96" s="205"/>
      <c r="G96" s="320"/>
      <c r="H96" s="320"/>
      <c r="I96" s="320"/>
      <c r="J96" s="320"/>
      <c r="K96" s="320"/>
      <c r="L96" s="320"/>
      <c r="M96" s="194"/>
      <c r="N96" s="194"/>
      <c r="O96" s="194"/>
      <c r="P96" s="194"/>
      <c r="Q96" s="194"/>
      <c r="R96" s="660"/>
      <c r="S96" s="66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c r="AZ96" s="320"/>
      <c r="BA96" s="320"/>
      <c r="BB96" s="320"/>
      <c r="BC96" s="320"/>
      <c r="BD96" s="320"/>
      <c r="BE96" s="320"/>
      <c r="BF96" s="320"/>
      <c r="BG96" s="320"/>
      <c r="BH96" s="320"/>
      <c r="BI96" s="320"/>
      <c r="BJ96" s="320"/>
      <c r="BK96" s="320"/>
      <c r="BL96" s="320"/>
      <c r="BM96" s="320"/>
      <c r="BN96" s="320"/>
      <c r="BO96" s="320"/>
      <c r="BP96" s="320"/>
      <c r="BQ96" s="320"/>
      <c r="BR96" s="320"/>
      <c r="BS96" s="320"/>
      <c r="BT96" s="365"/>
      <c r="BU96" s="365"/>
      <c r="BV96" s="193"/>
      <c r="BW96" s="193"/>
    </row>
    <row r="97" spans="1:47">
      <c r="A97" s="193"/>
      <c r="B97" s="5"/>
      <c r="C97" s="5"/>
      <c r="D97" s="5"/>
      <c r="E97" s="5"/>
      <c r="F97" s="5"/>
      <c r="G97" s="6"/>
      <c r="H97" s="6"/>
      <c r="I97" s="6"/>
      <c r="J97" s="6"/>
      <c r="K97" s="6"/>
      <c r="W97" s="8"/>
      <c r="X97" s="5"/>
      <c r="Y97" s="5"/>
      <c r="Z97" s="5"/>
      <c r="AA97" s="5"/>
      <c r="AB97" s="5"/>
      <c r="AC97" s="20"/>
      <c r="AD97" s="5"/>
      <c r="AE97" s="5"/>
      <c r="AF97" s="20"/>
      <c r="AG97" s="5"/>
      <c r="AH97" s="5"/>
      <c r="AI97" s="20"/>
      <c r="AJ97" s="5"/>
      <c r="AK97" s="5"/>
      <c r="AL97" s="20"/>
      <c r="AM97" s="5"/>
      <c r="AN97" s="5"/>
      <c r="AO97" s="20"/>
      <c r="AP97" s="5"/>
      <c r="AQ97" s="5"/>
      <c r="AR97" s="5"/>
      <c r="AS97" s="6"/>
      <c r="AT97" s="6"/>
      <c r="AU97" s="6"/>
    </row>
    <row r="98" spans="1:47">
      <c r="B98" s="5"/>
      <c r="C98" s="5"/>
      <c r="D98" s="5"/>
      <c r="E98" s="5"/>
      <c r="F98" s="5"/>
      <c r="G98" s="6"/>
      <c r="H98" s="6"/>
      <c r="I98" s="6"/>
      <c r="J98" s="6"/>
      <c r="K98" s="6"/>
      <c r="L98" s="14"/>
      <c r="M98" s="14"/>
      <c r="N98" s="14"/>
      <c r="O98" s="14"/>
      <c r="P98" s="14"/>
      <c r="T98" s="14"/>
      <c r="U98" s="14"/>
      <c r="V98" s="14"/>
      <c r="W98" s="16"/>
      <c r="X98" s="14"/>
      <c r="Y98" s="5"/>
      <c r="Z98" s="5"/>
      <c r="AA98" s="5"/>
      <c r="AB98" s="5"/>
      <c r="AC98" s="20"/>
      <c r="AD98" s="5"/>
      <c r="AE98" s="5"/>
      <c r="AF98" s="20"/>
      <c r="AG98" s="5"/>
      <c r="AH98" s="5"/>
      <c r="AI98" s="20"/>
      <c r="AJ98" s="5"/>
      <c r="AK98" s="5"/>
      <c r="AL98" s="20"/>
      <c r="AM98" s="5"/>
      <c r="AN98" s="5"/>
      <c r="AO98" s="20"/>
      <c r="AP98" s="5"/>
      <c r="AQ98" s="5"/>
      <c r="AR98" s="5"/>
      <c r="AS98" s="6"/>
      <c r="AT98" s="6"/>
      <c r="AU98" s="6"/>
    </row>
    <row r="99" spans="1:47">
      <c r="B99" s="9"/>
      <c r="C99" s="9"/>
      <c r="D99" s="9"/>
      <c r="E99" s="9"/>
      <c r="F99" s="9"/>
      <c r="G99" s="10"/>
      <c r="H99" s="10"/>
      <c r="I99" s="10"/>
      <c r="J99" s="10"/>
      <c r="K99" s="10"/>
      <c r="L99" s="22"/>
      <c r="M99" s="22"/>
      <c r="N99" s="22"/>
      <c r="O99" s="22"/>
      <c r="P99" s="22"/>
      <c r="T99" s="22"/>
      <c r="U99" s="22"/>
      <c r="V99" s="22"/>
      <c r="W99" s="12"/>
      <c r="X99" s="9"/>
      <c r="Y99" s="9"/>
      <c r="Z99" s="9"/>
      <c r="AA99" s="9"/>
      <c r="AB99" s="9"/>
      <c r="AC99" s="21"/>
      <c r="AD99" s="9"/>
      <c r="AE99" s="9"/>
      <c r="AF99" s="21"/>
      <c r="AG99" s="9"/>
      <c r="AH99" s="9"/>
      <c r="AI99" s="21"/>
      <c r="AJ99" s="9"/>
      <c r="AK99" s="9"/>
      <c r="AL99" s="21"/>
      <c r="AM99" s="9"/>
      <c r="AN99" s="9"/>
      <c r="AO99" s="21"/>
      <c r="AP99" s="9"/>
      <c r="AQ99" s="9"/>
    </row>
    <row r="100" spans="1:47">
      <c r="B100" s="9"/>
      <c r="C100" s="9"/>
      <c r="D100" s="9"/>
      <c r="E100" s="9"/>
      <c r="F100" s="9"/>
      <c r="G100" s="10"/>
      <c r="H100" s="10"/>
      <c r="I100" s="10"/>
      <c r="J100" s="10"/>
      <c r="K100" s="10"/>
      <c r="L100" s="22"/>
      <c r="M100" s="22"/>
      <c r="N100" s="22"/>
      <c r="O100" s="22"/>
      <c r="P100" s="22"/>
      <c r="T100" s="22"/>
      <c r="U100" s="22"/>
      <c r="V100" s="22"/>
      <c r="W100" s="12"/>
      <c r="X100" s="9"/>
      <c r="Y100" s="9"/>
      <c r="Z100" s="9"/>
      <c r="AA100" s="9"/>
      <c r="AB100" s="9"/>
      <c r="AC100" s="21"/>
      <c r="AD100" s="9"/>
      <c r="AE100" s="9"/>
      <c r="AF100" s="21"/>
      <c r="AG100" s="9"/>
      <c r="AH100" s="9"/>
      <c r="AI100" s="21"/>
      <c r="AJ100" s="9"/>
      <c r="AK100" s="9"/>
      <c r="AL100" s="21"/>
      <c r="AM100" s="9"/>
      <c r="AN100" s="9"/>
      <c r="AO100" s="21"/>
      <c r="AP100" s="9"/>
      <c r="AQ100" s="9"/>
    </row>
    <row r="101" spans="1:47">
      <c r="B101" s="9"/>
      <c r="C101" s="9"/>
      <c r="D101" s="9"/>
      <c r="E101" s="9"/>
      <c r="F101" s="9"/>
      <c r="G101" s="10"/>
      <c r="H101" s="10"/>
      <c r="I101" s="10"/>
      <c r="J101" s="10"/>
      <c r="K101" s="10"/>
      <c r="L101" s="22"/>
      <c r="M101" s="22"/>
      <c r="N101" s="22"/>
      <c r="O101" s="22"/>
      <c r="P101" s="22"/>
      <c r="T101" s="22"/>
      <c r="U101" s="22"/>
      <c r="V101" s="22"/>
      <c r="W101" s="12"/>
      <c r="X101" s="9"/>
      <c r="Y101" s="9"/>
      <c r="Z101" s="9"/>
      <c r="AA101" s="9"/>
      <c r="AB101" s="9"/>
      <c r="AC101" s="21"/>
      <c r="AD101" s="9"/>
      <c r="AE101" s="9"/>
      <c r="AF101" s="21"/>
      <c r="AG101" s="9"/>
      <c r="AH101" s="9"/>
      <c r="AI101" s="21"/>
      <c r="AJ101" s="9"/>
      <c r="AK101" s="9"/>
      <c r="AL101" s="21"/>
      <c r="AM101" s="9"/>
      <c r="AN101" s="9"/>
      <c r="AO101" s="21"/>
      <c r="AP101" s="9"/>
      <c r="AQ101" s="9"/>
    </row>
  </sheetData>
  <mergeCells count="55">
    <mergeCell ref="G49:H49"/>
    <mergeCell ref="B42:B43"/>
    <mergeCell ref="C42:C43"/>
    <mergeCell ref="E42:E43"/>
    <mergeCell ref="G42:H43"/>
    <mergeCell ref="B45:B46"/>
    <mergeCell ref="C45:C46"/>
    <mergeCell ref="E45:E46"/>
    <mergeCell ref="G45:H46"/>
    <mergeCell ref="CK33:CL33"/>
    <mergeCell ref="B36:B37"/>
    <mergeCell ref="C36:C37"/>
    <mergeCell ref="E36:E37"/>
    <mergeCell ref="G36:H37"/>
    <mergeCell ref="CE33:CF33"/>
    <mergeCell ref="CH33:CI33"/>
    <mergeCell ref="B27:B28"/>
    <mergeCell ref="C27:C28"/>
    <mergeCell ref="E27:E28"/>
    <mergeCell ref="G27:H28"/>
    <mergeCell ref="B39:B40"/>
    <mergeCell ref="C39:C40"/>
    <mergeCell ref="E39:E40"/>
    <mergeCell ref="G39:H40"/>
    <mergeCell ref="B33:B34"/>
    <mergeCell ref="C33:C34"/>
    <mergeCell ref="E33:E34"/>
    <mergeCell ref="G33:H34"/>
    <mergeCell ref="B30:B31"/>
    <mergeCell ref="C30:C31"/>
    <mergeCell ref="E30:E31"/>
    <mergeCell ref="G30:H31"/>
    <mergeCell ref="BM14:BN14"/>
    <mergeCell ref="B23:F23"/>
    <mergeCell ref="AS23:AV23"/>
    <mergeCell ref="AY23:BE23"/>
    <mergeCell ref="BH23:BO23"/>
    <mergeCell ref="G14:H14"/>
    <mergeCell ref="G25:H25"/>
    <mergeCell ref="V7:Z7"/>
    <mergeCell ref="V8:Z8"/>
    <mergeCell ref="V9:Z9"/>
    <mergeCell ref="AY12:BE12"/>
    <mergeCell ref="AD24:AE24"/>
    <mergeCell ref="AG24:AH24"/>
    <mergeCell ref="AJ24:AK24"/>
    <mergeCell ref="AM24:AN24"/>
    <mergeCell ref="AP24:AQ24"/>
    <mergeCell ref="B13:F13"/>
    <mergeCell ref="V6:Z6"/>
    <mergeCell ref="B2:C2"/>
    <mergeCell ref="V2:AA2"/>
    <mergeCell ref="B5:F5"/>
    <mergeCell ref="V5:AA5"/>
    <mergeCell ref="N3:O3"/>
  </mergeCells>
  <conditionalFormatting sqref="CI11">
    <cfRule type="colorScale" priority="232">
      <colorScale>
        <cfvo type="num" val="-0.5"/>
        <cfvo type="percent" val="0"/>
        <cfvo type="num" val="0.5"/>
        <color rgb="FFFF0000"/>
        <color theme="7" tint="0.59999389629810485"/>
        <color rgb="FFF57B17"/>
      </colorScale>
    </cfRule>
    <cfRule type="colorScale" priority="233">
      <colorScale>
        <cfvo type="min"/>
        <cfvo type="percentile" val="50"/>
        <cfvo type="max"/>
        <color rgb="FFFF0000"/>
        <color theme="0"/>
        <color rgb="FFF57B17"/>
      </colorScale>
    </cfRule>
  </conditionalFormatting>
  <conditionalFormatting sqref="CK11">
    <cfRule type="colorScale" priority="230">
      <colorScale>
        <cfvo type="num" val="-0.5"/>
        <cfvo type="percent" val="0"/>
        <cfvo type="num" val="0.5"/>
        <color rgb="FFFF0000"/>
        <color theme="7" tint="0.59999389629810485"/>
        <color rgb="FFF57B17"/>
      </colorScale>
    </cfRule>
    <cfRule type="colorScale" priority="231">
      <colorScale>
        <cfvo type="min"/>
        <cfvo type="percentile" val="50"/>
        <cfvo type="max"/>
        <color rgb="FFFF0000"/>
        <color theme="0"/>
        <color rgb="FFF57B17"/>
      </colorScale>
    </cfRule>
  </conditionalFormatting>
  <conditionalFormatting sqref="Z16">
    <cfRule type="cellIs" dxfId="322" priority="219" operator="equal">
      <formula>""</formula>
    </cfRule>
    <cfRule type="cellIs" dxfId="321" priority="228" operator="greaterThan">
      <formula>$Z$14+0.5</formula>
    </cfRule>
    <cfRule type="cellIs" dxfId="320" priority="229" operator="lessThan">
      <formula>$Z$14-0.5</formula>
    </cfRule>
  </conditionalFormatting>
  <conditionalFormatting sqref="AB16">
    <cfRule type="cellIs" dxfId="319" priority="218" operator="equal">
      <formula>""</formula>
    </cfRule>
    <cfRule type="cellIs" dxfId="318" priority="226" operator="greaterThan">
      <formula>$AB$14+(0.5*$AA$16)</formula>
    </cfRule>
    <cfRule type="cellIs" dxfId="317" priority="227" operator="lessThan">
      <formula>$AB$14-(0.5*$AA$16)</formula>
    </cfRule>
  </conditionalFormatting>
  <conditionalFormatting sqref="AH16">
    <cfRule type="cellIs" dxfId="316" priority="216" operator="equal">
      <formula>""</formula>
    </cfRule>
    <cfRule type="cellIs" dxfId="315" priority="225" operator="lessThanOrEqual">
      <formula>35</formula>
    </cfRule>
  </conditionalFormatting>
  <conditionalFormatting sqref="AK16">
    <cfRule type="cellIs" dxfId="314" priority="215" operator="equal">
      <formula>""</formula>
    </cfRule>
    <cfRule type="cellIs" dxfId="313" priority="224" operator="greaterThanOrEqual">
      <formula>38</formula>
    </cfRule>
  </conditionalFormatting>
  <conditionalFormatting sqref="AN16">
    <cfRule type="cellIs" dxfId="312" priority="214" operator="equal">
      <formula>""</formula>
    </cfRule>
    <cfRule type="cellIs" dxfId="311" priority="223" operator="greaterThanOrEqual">
      <formula>30</formula>
    </cfRule>
  </conditionalFormatting>
  <conditionalFormatting sqref="AQ16">
    <cfRule type="cellIs" dxfId="310" priority="213" operator="equal">
      <formula>""</formula>
    </cfRule>
    <cfRule type="cellIs" dxfId="309" priority="222" operator="greaterThanOrEqual">
      <formula>6</formula>
    </cfRule>
  </conditionalFormatting>
  <conditionalFormatting sqref="AE16">
    <cfRule type="cellIs" dxfId="308" priority="217" operator="equal">
      <formula>""</formula>
    </cfRule>
    <cfRule type="cellIs" dxfId="307" priority="220" operator="greaterThan">
      <formula>30</formula>
    </cfRule>
    <cfRule type="cellIs" dxfId="306" priority="221" operator="lessThan">
      <formula>$AE$14</formula>
    </cfRule>
  </conditionalFormatting>
  <conditionalFormatting sqref="V9">
    <cfRule type="expression" dxfId="305" priority="212">
      <formula>$G$7="dry"</formula>
    </cfRule>
  </conditionalFormatting>
  <conditionalFormatting sqref="AZ16">
    <cfRule type="cellIs" dxfId="304" priority="262" operator="lessThanOrEqual">
      <formula>35</formula>
    </cfRule>
  </conditionalFormatting>
  <conditionalFormatting sqref="BB16">
    <cfRule type="cellIs" dxfId="303" priority="211" operator="lessThanOrEqual">
      <formula>32</formula>
    </cfRule>
  </conditionalFormatting>
  <conditionalFormatting sqref="BD16">
    <cfRule type="cellIs" dxfId="302" priority="209" operator="greaterThanOrEqual">
      <formula>65</formula>
    </cfRule>
  </conditionalFormatting>
  <conditionalFormatting sqref="Y30">
    <cfRule type="cellIs" dxfId="301" priority="208" operator="equal">
      <formula>0</formula>
    </cfRule>
  </conditionalFormatting>
  <conditionalFormatting sqref="Y31">
    <cfRule type="cellIs" dxfId="300" priority="206" operator="equal">
      <formula>0</formula>
    </cfRule>
  </conditionalFormatting>
  <conditionalFormatting sqref="Y28">
    <cfRule type="cellIs" dxfId="299" priority="205" operator="equal">
      <formula>0</formula>
    </cfRule>
  </conditionalFormatting>
  <conditionalFormatting sqref="V66">
    <cfRule type="expression" dxfId="298" priority="204">
      <formula>"if+$X$6=""NO"""</formula>
    </cfRule>
  </conditionalFormatting>
  <conditionalFormatting sqref="L14">
    <cfRule type="cellIs" dxfId="297" priority="202" operator="greaterThan">
      <formula>0</formula>
    </cfRule>
  </conditionalFormatting>
  <conditionalFormatting sqref="G15">
    <cfRule type="cellIs" dxfId="296" priority="201" operator="greaterThan">
      <formula>0</formula>
    </cfRule>
  </conditionalFormatting>
  <conditionalFormatting sqref="G16">
    <cfRule type="cellIs" dxfId="295" priority="200" operator="greaterThan">
      <formula>0</formula>
    </cfRule>
  </conditionalFormatting>
  <conditionalFormatting sqref="G17">
    <cfRule type="cellIs" dxfId="294" priority="199" operator="greaterThan">
      <formula>0</formula>
    </cfRule>
  </conditionalFormatting>
  <conditionalFormatting sqref="J19">
    <cfRule type="cellIs" dxfId="293" priority="198" operator="greaterThan">
      <formula>0</formula>
    </cfRule>
  </conditionalFormatting>
  <conditionalFormatting sqref="AA9">
    <cfRule type="expression" dxfId="292" priority="197">
      <formula>$G$7="dry"</formula>
    </cfRule>
  </conditionalFormatting>
  <conditionalFormatting sqref="BO16">
    <cfRule type="cellIs" dxfId="291" priority="195" operator="equal">
      <formula>""""""</formula>
    </cfRule>
  </conditionalFormatting>
  <conditionalFormatting sqref="BL30">
    <cfRule type="cellIs" dxfId="290" priority="191" operator="equal">
      <formula>0</formula>
    </cfRule>
  </conditionalFormatting>
  <conditionalFormatting sqref="BM30">
    <cfRule type="cellIs" dxfId="289" priority="190" operator="equal">
      <formula>0</formula>
    </cfRule>
  </conditionalFormatting>
  <conditionalFormatting sqref="BN30">
    <cfRule type="cellIs" dxfId="288" priority="189" operator="equal">
      <formula>0</formula>
    </cfRule>
  </conditionalFormatting>
  <conditionalFormatting sqref="BO30">
    <cfRule type="cellIs" dxfId="287" priority="188" operator="equal">
      <formula>0</formula>
    </cfRule>
  </conditionalFormatting>
  <conditionalFormatting sqref="BK31">
    <cfRule type="cellIs" dxfId="286" priority="184" operator="equal">
      <formula>0</formula>
    </cfRule>
  </conditionalFormatting>
  <conditionalFormatting sqref="BL31">
    <cfRule type="cellIs" dxfId="285" priority="183" operator="equal">
      <formula>0</formula>
    </cfRule>
  </conditionalFormatting>
  <conditionalFormatting sqref="BM31">
    <cfRule type="cellIs" dxfId="284" priority="182" operator="equal">
      <formula>0</formula>
    </cfRule>
  </conditionalFormatting>
  <conditionalFormatting sqref="BN31">
    <cfRule type="cellIs" dxfId="283" priority="181" operator="equal">
      <formula>0</formula>
    </cfRule>
  </conditionalFormatting>
  <conditionalFormatting sqref="BI30">
    <cfRule type="cellIs" dxfId="282" priority="194" operator="equal">
      <formula>0</formula>
    </cfRule>
  </conditionalFormatting>
  <conditionalFormatting sqref="BJ30">
    <cfRule type="cellIs" dxfId="281" priority="193" operator="equal">
      <formula>0</formula>
    </cfRule>
  </conditionalFormatting>
  <conditionalFormatting sqref="BK30">
    <cfRule type="cellIs" dxfId="280" priority="192" operator="equal">
      <formula>0</formula>
    </cfRule>
  </conditionalFormatting>
  <conditionalFormatting sqref="BI31">
    <cfRule type="cellIs" dxfId="279" priority="187" operator="equal">
      <formula>0</formula>
    </cfRule>
  </conditionalFormatting>
  <conditionalFormatting sqref="BO31">
    <cfRule type="cellIs" dxfId="278" priority="186" operator="equal">
      <formula>0</formula>
    </cfRule>
  </conditionalFormatting>
  <conditionalFormatting sqref="BJ31">
    <cfRule type="cellIs" dxfId="277" priority="185" operator="equal">
      <formula>0</formula>
    </cfRule>
  </conditionalFormatting>
  <conditionalFormatting sqref="W27">
    <cfRule type="expression" dxfId="276" priority="180">
      <formula>$R27=""</formula>
    </cfRule>
  </conditionalFormatting>
  <conditionalFormatting sqref="W33">
    <cfRule type="expression" dxfId="275" priority="178">
      <formula>$R33=""</formula>
    </cfRule>
  </conditionalFormatting>
  <conditionalFormatting sqref="W36">
    <cfRule type="expression" dxfId="274" priority="177">
      <formula>$R36=""</formula>
    </cfRule>
  </conditionalFormatting>
  <conditionalFormatting sqref="W39">
    <cfRule type="expression" dxfId="273" priority="176">
      <formula>$R39=""</formula>
    </cfRule>
  </conditionalFormatting>
  <conditionalFormatting sqref="W42">
    <cfRule type="expression" dxfId="272" priority="175">
      <formula>$R42=""</formula>
    </cfRule>
  </conditionalFormatting>
  <conditionalFormatting sqref="W45">
    <cfRule type="expression" dxfId="271" priority="174">
      <formula>$R45=""</formula>
    </cfRule>
  </conditionalFormatting>
  <conditionalFormatting sqref="W28">
    <cfRule type="expression" dxfId="270" priority="16">
      <formula>$AA$6="NO"</formula>
    </cfRule>
    <cfRule type="expression" dxfId="269" priority="173">
      <formula>$R28=""</formula>
    </cfRule>
  </conditionalFormatting>
  <conditionalFormatting sqref="W31">
    <cfRule type="expression" dxfId="268" priority="172">
      <formula>$R31=""</formula>
    </cfRule>
  </conditionalFormatting>
  <conditionalFormatting sqref="J30 J33 J36 J39 J42 J45">
    <cfRule type="expression" dxfId="267" priority="234">
      <formula>$S30=0</formula>
    </cfRule>
    <cfRule type="expression" dxfId="266" priority="235">
      <formula>$S30+$J30=1</formula>
    </cfRule>
    <cfRule type="cellIs" dxfId="265" priority="236" operator="greaterThan">
      <formula>0</formula>
    </cfRule>
  </conditionalFormatting>
  <conditionalFormatting sqref="Z18">
    <cfRule type="expression" dxfId="264" priority="237">
      <formula>$AA$6="NO"</formula>
    </cfRule>
    <cfRule type="cellIs" dxfId="263" priority="238" operator="equal">
      <formula>""</formula>
    </cfRule>
    <cfRule type="cellIs" dxfId="262" priority="239" operator="greaterThan">
      <formula>$Z$14+0.5</formula>
    </cfRule>
    <cfRule type="cellIs" dxfId="261" priority="240" operator="lessThan">
      <formula>$Z$14-0.5</formula>
    </cfRule>
  </conditionalFormatting>
  <conditionalFormatting sqref="AB18">
    <cfRule type="expression" dxfId="260" priority="241">
      <formula>$AA$6="NO"</formula>
    </cfRule>
    <cfRule type="cellIs" dxfId="259" priority="242" operator="equal">
      <formula>""</formula>
    </cfRule>
    <cfRule type="cellIs" dxfId="258" priority="243" operator="greaterThan">
      <formula>$AB$14+(0.5*$AA$16)</formula>
    </cfRule>
    <cfRule type="cellIs" dxfId="257" priority="244" operator="lessThan">
      <formula>$AB$14-(0.5*$AA$16)</formula>
    </cfRule>
  </conditionalFormatting>
  <conditionalFormatting sqref="AE18">
    <cfRule type="expression" dxfId="256" priority="245">
      <formula>$AA$6="NO"</formula>
    </cfRule>
    <cfRule type="cellIs" dxfId="255" priority="246" operator="equal">
      <formula>""</formula>
    </cfRule>
    <cfRule type="cellIs" dxfId="254" priority="247" operator="greaterThan">
      <formula>30</formula>
    </cfRule>
    <cfRule type="cellIs" dxfId="253" priority="248" operator="lessThan">
      <formula>$AE$14</formula>
    </cfRule>
  </conditionalFormatting>
  <conditionalFormatting sqref="AH18">
    <cfRule type="expression" dxfId="252" priority="249">
      <formula>$AA$6="NO"</formula>
    </cfRule>
    <cfRule type="cellIs" dxfId="251" priority="250" operator="equal">
      <formula>""</formula>
    </cfRule>
    <cfRule type="cellIs" dxfId="250" priority="251" operator="lessThanOrEqual">
      <formula>35</formula>
    </cfRule>
  </conditionalFormatting>
  <conditionalFormatting sqref="AK18">
    <cfRule type="expression" dxfId="249" priority="252">
      <formula>$AA$6="NO"</formula>
    </cfRule>
    <cfRule type="cellIs" dxfId="248" priority="253" operator="equal">
      <formula>""</formula>
    </cfRule>
    <cfRule type="cellIs" dxfId="247" priority="254" operator="greaterThanOrEqual">
      <formula>38</formula>
    </cfRule>
  </conditionalFormatting>
  <conditionalFormatting sqref="AN18">
    <cfRule type="expression" dxfId="246" priority="255">
      <formula>$AA$6="NO"</formula>
    </cfRule>
    <cfRule type="cellIs" dxfId="245" priority="256" operator="equal">
      <formula>""</formula>
    </cfRule>
    <cfRule type="cellIs" dxfId="244" priority="257" operator="greaterThanOrEqual">
      <formula>30</formula>
    </cfRule>
  </conditionalFormatting>
  <conditionalFormatting sqref="AQ18">
    <cfRule type="expression" dxfId="243" priority="258">
      <formula>$AA$6="NO"</formula>
    </cfRule>
    <cfRule type="cellIs" dxfId="242" priority="259" operator="equal">
      <formula>""</formula>
    </cfRule>
    <cfRule type="cellIs" dxfId="241" priority="260" operator="greaterThanOrEqual">
      <formula>6</formula>
    </cfRule>
  </conditionalFormatting>
  <conditionalFormatting sqref="AS30:AV31 AT24:AV26 AS23:AS26 AS12:AV20 AR49:AV50 AS28:AV28">
    <cfRule type="expression" dxfId="240" priority="261">
      <formula>$AA$7="NO"</formula>
    </cfRule>
  </conditionalFormatting>
  <conditionalFormatting sqref="AZ16:BD16 AZ18 BB18 BD18">
    <cfRule type="expression" dxfId="239" priority="210">
      <formula>$AA$8="NO"</formula>
    </cfRule>
  </conditionalFormatting>
  <conditionalFormatting sqref="AY23 AZ17:BD17 AZ19:BD20 BE13:BE20 BC18 AZ13:BD15 AY12:AY20 BA18 AY24:BD26 AY50 BA50 BC50 AY35:BD35 AY38:BD38 AY41:BD41 AY44:BD44 AY47:BD49 AY28:BD32">
    <cfRule type="expression" dxfId="238" priority="263">
      <formula>$AA$8="NO"</formula>
    </cfRule>
  </conditionalFormatting>
  <conditionalFormatting sqref="AZ18">
    <cfRule type="expression" dxfId="237" priority="264">
      <formula>$AA$6="NO"</formula>
    </cfRule>
    <cfRule type="cellIs" dxfId="236" priority="265" operator="lessThanOrEqual">
      <formula>35</formula>
    </cfRule>
  </conditionalFormatting>
  <conditionalFormatting sqref="BB18">
    <cfRule type="expression" dxfId="235" priority="266">
      <formula>$AA$6="NO"</formula>
    </cfRule>
    <cfRule type="cellIs" dxfId="234" priority="267" operator="lessThanOrEqual">
      <formula>32</formula>
    </cfRule>
  </conditionalFormatting>
  <conditionalFormatting sqref="BO16">
    <cfRule type="expression" dxfId="233" priority="268" stopIfTrue="1">
      <formula>$AA$9="NO"</formula>
    </cfRule>
    <cfRule type="cellIs" dxfId="232" priority="269" operator="greaterThanOrEqual">
      <formula>0.001</formula>
    </cfRule>
  </conditionalFormatting>
  <conditionalFormatting sqref="BO18">
    <cfRule type="expression" dxfId="231" priority="270" stopIfTrue="1">
      <formula>$AA$9="NO"</formula>
    </cfRule>
    <cfRule type="cellIs" dxfId="230" priority="271" operator="equal">
      <formula>""""""</formula>
    </cfRule>
    <cfRule type="expression" dxfId="229" priority="272">
      <formula>$AA$6="NO"</formula>
    </cfRule>
    <cfRule type="cellIs" dxfId="228" priority="273" operator="greaterThan">
      <formula>0</formula>
    </cfRule>
  </conditionalFormatting>
  <conditionalFormatting sqref="BD18">
    <cfRule type="expression" dxfId="227" priority="274">
      <formula>$AA$6="NO"</formula>
    </cfRule>
    <cfRule type="cellIs" dxfId="226" priority="275" operator="greaterThan">
      <formula>65</formula>
    </cfRule>
  </conditionalFormatting>
  <conditionalFormatting sqref="BH16">
    <cfRule type="expression" dxfId="225" priority="276">
      <formula>$AA$9="NO"</formula>
    </cfRule>
    <cfRule type="cellIs" dxfId="224" priority="277" operator="lessThan">
      <formula>0.12</formula>
    </cfRule>
  </conditionalFormatting>
  <conditionalFormatting sqref="BH18">
    <cfRule type="expression" dxfId="223" priority="278">
      <formula>$AA$9="NO"</formula>
    </cfRule>
    <cfRule type="expression" dxfId="222" priority="279">
      <formula>$AA$6="NO"</formula>
    </cfRule>
    <cfRule type="cellIs" dxfId="221" priority="280" operator="lessThanOrEqual">
      <formula>0.12</formula>
    </cfRule>
  </conditionalFormatting>
  <conditionalFormatting sqref="BH24:BO26 BH23 BH49:BO49 BP16:BR16 BP18:BR18 BG12:BG20 BH17:BR17 BH19:BR20 BI30:BO31 BO50 BH12:BR13 BH15:BR15 BH14:BM14 BO14:BR14 BM16 BM18">
    <cfRule type="expression" dxfId="220" priority="281">
      <formula>$AA$9="NO"</formula>
    </cfRule>
  </conditionalFormatting>
  <conditionalFormatting sqref="BH30">
    <cfRule type="cellIs" dxfId="219" priority="282" operator="equal">
      <formula>0</formula>
    </cfRule>
    <cfRule type="expression" dxfId="218" priority="283">
      <formula>$AA$9="NO"</formula>
    </cfRule>
  </conditionalFormatting>
  <conditionalFormatting sqref="V68:AA68 V67 X67:AA67 V70:AA70 V69 X69:AA69 V72:AA76 V71 X71:AA71">
    <cfRule type="expression" dxfId="217" priority="284">
      <formula>$AA$8="NO"</formula>
    </cfRule>
  </conditionalFormatting>
  <conditionalFormatting sqref="V18 V19:AR20 AA18 X18">
    <cfRule type="expression" dxfId="216" priority="285">
      <formula>$AA$6="NO"</formula>
    </cfRule>
  </conditionalFormatting>
  <conditionalFormatting sqref="AC18:AD18 Y18 AF18:AG18 AI18:AJ18 AL18:AM18 AO18:AP18 AR18 W18">
    <cfRule type="expression" dxfId="215" priority="286">
      <formula>$AA$7="NO"</formula>
    </cfRule>
  </conditionalFormatting>
  <conditionalFormatting sqref="M49:M50 L48 L50">
    <cfRule type="expression" dxfId="214" priority="287">
      <formula>$AA$6="NO"</formula>
    </cfRule>
  </conditionalFormatting>
  <conditionalFormatting sqref="L28 L31 L34 L37 L40 L43 L46">
    <cfRule type="expression" dxfId="213" priority="288">
      <formula>$AA$6="NO"</formula>
    </cfRule>
    <cfRule type="expression" dxfId="212" priority="289">
      <formula>$S27=0</formula>
    </cfRule>
    <cfRule type="expression" dxfId="211" priority="290">
      <formula>$S27+$L28=1</formula>
    </cfRule>
    <cfRule type="cellIs" dxfId="210" priority="291" operator="greaterThan">
      <formula>0</formula>
    </cfRule>
  </conditionalFormatting>
  <conditionalFormatting sqref="W50:AV50">
    <cfRule type="expression" dxfId="209" priority="292">
      <formula>$AA$6="NO"</formula>
    </cfRule>
  </conditionalFormatting>
  <conditionalFormatting sqref="AS18 AU18">
    <cfRule type="expression" dxfId="208" priority="293">
      <formula>$AA$6="NO"</formula>
    </cfRule>
  </conditionalFormatting>
  <conditionalFormatting sqref="AY50 BO50 J54 BA50 BC50">
    <cfRule type="expression" dxfId="207" priority="294">
      <formula>$AA$6="NO"</formula>
    </cfRule>
  </conditionalFormatting>
  <conditionalFormatting sqref="BI16">
    <cfRule type="expression" dxfId="206" priority="295">
      <formula>$AA$9="NO"</formula>
    </cfRule>
    <cfRule type="cellIs" dxfId="205" priority="296" operator="lessThanOrEqual">
      <formula>1.2</formula>
    </cfRule>
  </conditionalFormatting>
  <conditionalFormatting sqref="BJ16">
    <cfRule type="expression" dxfId="204" priority="297">
      <formula>$AA$9="NO"</formula>
    </cfRule>
    <cfRule type="cellIs" dxfId="203" priority="298" operator="lessThanOrEqual">
      <formula>0.5</formula>
    </cfRule>
  </conditionalFormatting>
  <conditionalFormatting sqref="BK16">
    <cfRule type="expression" dxfId="202" priority="299">
      <formula>$AA$9="NO"</formula>
    </cfRule>
    <cfRule type="cellIs" dxfId="201" priority="300" operator="lessThanOrEqual">
      <formula>0.25</formula>
    </cfRule>
  </conditionalFormatting>
  <conditionalFormatting sqref="BL16">
    <cfRule type="expression" dxfId="200" priority="301">
      <formula>$AA$9="NO"</formula>
    </cfRule>
    <cfRule type="cellIs" dxfId="199" priority="302" operator="lessThanOrEqual">
      <formula>0.3</formula>
    </cfRule>
  </conditionalFormatting>
  <conditionalFormatting sqref="BN16">
    <cfRule type="expression" dxfId="198" priority="49">
      <formula>$AA$9="NO"</formula>
    </cfRule>
    <cfRule type="cellIs" dxfId="197" priority="303" operator="greaterThanOrEqual">
      <formula>0.45</formula>
    </cfRule>
    <cfRule type="cellIs" dxfId="196" priority="304" operator="lessThanOrEqual">
      <formula>0.25</formula>
    </cfRule>
  </conditionalFormatting>
  <conditionalFormatting sqref="BI18">
    <cfRule type="expression" dxfId="195" priority="305">
      <formula>$AA$9="NO"</formula>
    </cfRule>
    <cfRule type="expression" dxfId="194" priority="306">
      <formula>$AA$6="NO"</formula>
    </cfRule>
    <cfRule type="cellIs" dxfId="193" priority="307" operator="lessThanOrEqual">
      <formula>1.2</formula>
    </cfRule>
  </conditionalFormatting>
  <conditionalFormatting sqref="BJ18">
    <cfRule type="expression" dxfId="192" priority="308">
      <formula>$AA$9="NO"</formula>
    </cfRule>
    <cfRule type="expression" dxfId="191" priority="309">
      <formula>$AA$6="NO"</formula>
    </cfRule>
    <cfRule type="cellIs" dxfId="190" priority="310" operator="lessThanOrEqual">
      <formula>0.5</formula>
    </cfRule>
  </conditionalFormatting>
  <conditionalFormatting sqref="BK18">
    <cfRule type="expression" dxfId="189" priority="311">
      <formula>$AA$9="NO"</formula>
    </cfRule>
    <cfRule type="expression" dxfId="188" priority="312">
      <formula>$AA$6="NO"</formula>
    </cfRule>
    <cfRule type="cellIs" dxfId="187" priority="313" operator="lessThanOrEqual">
      <formula>0.25</formula>
    </cfRule>
  </conditionalFormatting>
  <conditionalFormatting sqref="BL18">
    <cfRule type="expression" dxfId="186" priority="314">
      <formula>$AA$9="NO"</formula>
    </cfRule>
    <cfRule type="expression" dxfId="185" priority="315">
      <formula>$AA$6="NO"</formula>
    </cfRule>
    <cfRule type="cellIs" dxfId="184" priority="316" operator="lessThanOrEqual">
      <formula>0.3</formula>
    </cfRule>
  </conditionalFormatting>
  <conditionalFormatting sqref="BN18">
    <cfRule type="expression" dxfId="183" priority="48">
      <formula>$AA$9="NO"</formula>
    </cfRule>
    <cfRule type="expression" dxfId="182" priority="317">
      <formula>$AA$6="NO"</formula>
    </cfRule>
    <cfRule type="cellIs" dxfId="181" priority="318" operator="greaterThanOrEqual">
      <formula>0.45</formula>
    </cfRule>
    <cfRule type="cellIs" dxfId="180" priority="319" operator="lessThanOrEqual">
      <formula>0.25</formula>
    </cfRule>
  </conditionalFormatting>
  <conditionalFormatting sqref="BH28">
    <cfRule type="expression" dxfId="179" priority="320" stopIfTrue="1">
      <formula>$AA$9="NO"</formula>
    </cfRule>
    <cfRule type="cellIs" dxfId="178" priority="321" operator="equal">
      <formula>0</formula>
    </cfRule>
  </conditionalFormatting>
  <conditionalFormatting sqref="BH31 BI28:BO28">
    <cfRule type="cellIs" dxfId="177" priority="322" operator="equal">
      <formula>0</formula>
    </cfRule>
    <cfRule type="expression" dxfId="176" priority="323">
      <formula>$AA$9="NO"</formula>
    </cfRule>
  </conditionalFormatting>
  <conditionalFormatting sqref="O30 O27 O45 O42 O39 O36 O33">
    <cfRule type="expression" dxfId="175" priority="324">
      <formula>$AA$7="NO"</formula>
    </cfRule>
    <cfRule type="cellIs" dxfId="174" priority="325" operator="greaterThan">
      <formula>0</formula>
    </cfRule>
    <cfRule type="expression" dxfId="173" priority="326">
      <formula>$S27=0</formula>
    </cfRule>
    <cfRule type="expression" dxfId="172" priority="327">
      <formula>$S27+$J27&gt;=1</formula>
    </cfRule>
  </conditionalFormatting>
  <conditionalFormatting sqref="BH50">
    <cfRule type="expression" dxfId="171" priority="41">
      <formula>$AA$9="NO"</formula>
    </cfRule>
    <cfRule type="expression" dxfId="170" priority="165">
      <formula>$AA$6="NO"</formula>
    </cfRule>
  </conditionalFormatting>
  <conditionalFormatting sqref="Y33">
    <cfRule type="cellIs" dxfId="169" priority="164" operator="equal">
      <formula>0</formula>
    </cfRule>
  </conditionalFormatting>
  <conditionalFormatting sqref="Y36">
    <cfRule type="cellIs" dxfId="168" priority="163" operator="equal">
      <formula>0</formula>
    </cfRule>
  </conditionalFormatting>
  <conditionalFormatting sqref="Y39">
    <cfRule type="cellIs" dxfId="167" priority="162" operator="equal">
      <formula>0</formula>
    </cfRule>
  </conditionalFormatting>
  <conditionalFormatting sqref="Y42">
    <cfRule type="cellIs" dxfId="166" priority="161" operator="equal">
      <formula>0</formula>
    </cfRule>
  </conditionalFormatting>
  <conditionalFormatting sqref="Y45">
    <cfRule type="cellIs" dxfId="165" priority="160" operator="equal">
      <formula>0</formula>
    </cfRule>
  </conditionalFormatting>
  <conditionalFormatting sqref="Y34">
    <cfRule type="cellIs" dxfId="164" priority="159" operator="equal">
      <formula>0</formula>
    </cfRule>
  </conditionalFormatting>
  <conditionalFormatting sqref="Y37">
    <cfRule type="cellIs" dxfId="163" priority="158" operator="equal">
      <formula>0</formula>
    </cfRule>
  </conditionalFormatting>
  <conditionalFormatting sqref="Y40">
    <cfRule type="cellIs" dxfId="162" priority="157" operator="equal">
      <formula>0</formula>
    </cfRule>
  </conditionalFormatting>
  <conditionalFormatting sqref="Y43">
    <cfRule type="cellIs" dxfId="161" priority="156" operator="equal">
      <formula>0</formula>
    </cfRule>
  </conditionalFormatting>
  <conditionalFormatting sqref="Y46">
    <cfRule type="cellIs" dxfId="160" priority="155" operator="equal">
      <formula>0</formula>
    </cfRule>
  </conditionalFormatting>
  <conditionalFormatting sqref="BI33">
    <cfRule type="cellIs" dxfId="159" priority="147" operator="equal">
      <formula>0</formula>
    </cfRule>
  </conditionalFormatting>
  <conditionalFormatting sqref="BJ33">
    <cfRule type="cellIs" dxfId="158" priority="146" operator="equal">
      <formula>0</formula>
    </cfRule>
  </conditionalFormatting>
  <conditionalFormatting sqref="BK33">
    <cfRule type="cellIs" dxfId="157" priority="145" operator="equal">
      <formula>0</formula>
    </cfRule>
  </conditionalFormatting>
  <conditionalFormatting sqref="BL33">
    <cfRule type="cellIs" dxfId="156" priority="144" operator="equal">
      <formula>0</formula>
    </cfRule>
  </conditionalFormatting>
  <conditionalFormatting sqref="BM33">
    <cfRule type="cellIs" dxfId="155" priority="143" operator="equal">
      <formula>0</formula>
    </cfRule>
  </conditionalFormatting>
  <conditionalFormatting sqref="BN33">
    <cfRule type="cellIs" dxfId="154" priority="142" operator="equal">
      <formula>0</formula>
    </cfRule>
  </conditionalFormatting>
  <conditionalFormatting sqref="BO33">
    <cfRule type="cellIs" dxfId="153" priority="141" operator="equal">
      <formula>0</formula>
    </cfRule>
  </conditionalFormatting>
  <conditionalFormatting sqref="BI34">
    <cfRule type="cellIs" dxfId="152" priority="140" operator="equal">
      <formula>0</formula>
    </cfRule>
  </conditionalFormatting>
  <conditionalFormatting sqref="BO34">
    <cfRule type="cellIs" dxfId="151" priority="139" operator="equal">
      <formula>0</formula>
    </cfRule>
  </conditionalFormatting>
  <conditionalFormatting sqref="BJ34">
    <cfRule type="cellIs" dxfId="150" priority="138" operator="equal">
      <formula>0</formula>
    </cfRule>
  </conditionalFormatting>
  <conditionalFormatting sqref="BK34">
    <cfRule type="cellIs" dxfId="149" priority="137" operator="equal">
      <formula>0</formula>
    </cfRule>
  </conditionalFormatting>
  <conditionalFormatting sqref="BL34">
    <cfRule type="cellIs" dxfId="148" priority="136" operator="equal">
      <formula>0</formula>
    </cfRule>
  </conditionalFormatting>
  <conditionalFormatting sqref="BM34">
    <cfRule type="cellIs" dxfId="147" priority="135" operator="equal">
      <formula>0</formula>
    </cfRule>
  </conditionalFormatting>
  <conditionalFormatting sqref="BN34">
    <cfRule type="cellIs" dxfId="146" priority="134" operator="equal">
      <formula>0</formula>
    </cfRule>
  </conditionalFormatting>
  <conditionalFormatting sqref="AS33:AV34">
    <cfRule type="expression" dxfId="145" priority="148">
      <formula>$AA$7="NO"</formula>
    </cfRule>
  </conditionalFormatting>
  <conditionalFormatting sqref="AY33:BD34">
    <cfRule type="expression" dxfId="144" priority="149">
      <formula>$AA$8="NO"</formula>
    </cfRule>
  </conditionalFormatting>
  <conditionalFormatting sqref="BI33:BO34">
    <cfRule type="expression" dxfId="143" priority="150">
      <formula>$AA$9="NO"</formula>
    </cfRule>
  </conditionalFormatting>
  <conditionalFormatting sqref="BH33">
    <cfRule type="cellIs" dxfId="142" priority="151" operator="equal">
      <formula>0</formula>
    </cfRule>
    <cfRule type="expression" dxfId="141" priority="152">
      <formula>$AA$9="NO"</formula>
    </cfRule>
  </conditionalFormatting>
  <conditionalFormatting sqref="BH34">
    <cfRule type="cellIs" dxfId="140" priority="153" operator="equal">
      <formula>0</formula>
    </cfRule>
    <cfRule type="expression" dxfId="139" priority="154">
      <formula>$AA$9="NO"</formula>
    </cfRule>
  </conditionalFormatting>
  <conditionalFormatting sqref="BI36">
    <cfRule type="cellIs" dxfId="138" priority="126" operator="equal">
      <formula>0</formula>
    </cfRule>
  </conditionalFormatting>
  <conditionalFormatting sqref="BJ36">
    <cfRule type="cellIs" dxfId="137" priority="125" operator="equal">
      <formula>0</formula>
    </cfRule>
  </conditionalFormatting>
  <conditionalFormatting sqref="BK36">
    <cfRule type="cellIs" dxfId="136" priority="124" operator="equal">
      <formula>0</formula>
    </cfRule>
  </conditionalFormatting>
  <conditionalFormatting sqref="BL36">
    <cfRule type="cellIs" dxfId="135" priority="123" operator="equal">
      <formula>0</formula>
    </cfRule>
  </conditionalFormatting>
  <conditionalFormatting sqref="BM36">
    <cfRule type="cellIs" dxfId="134" priority="122" operator="equal">
      <formula>0</formula>
    </cfRule>
  </conditionalFormatting>
  <conditionalFormatting sqref="BN36">
    <cfRule type="cellIs" dxfId="133" priority="121" operator="equal">
      <formula>0</formula>
    </cfRule>
  </conditionalFormatting>
  <conditionalFormatting sqref="BO36">
    <cfRule type="cellIs" dxfId="132" priority="120" operator="equal">
      <formula>0</formula>
    </cfRule>
  </conditionalFormatting>
  <conditionalFormatting sqref="BI37">
    <cfRule type="cellIs" dxfId="131" priority="119" operator="equal">
      <formula>0</formula>
    </cfRule>
  </conditionalFormatting>
  <conditionalFormatting sqref="BO37">
    <cfRule type="cellIs" dxfId="130" priority="118" operator="equal">
      <formula>0</formula>
    </cfRule>
  </conditionalFormatting>
  <conditionalFormatting sqref="BJ37">
    <cfRule type="cellIs" dxfId="129" priority="117" operator="equal">
      <formula>0</formula>
    </cfRule>
  </conditionalFormatting>
  <conditionalFormatting sqref="BK37">
    <cfRule type="cellIs" dxfId="128" priority="116" operator="equal">
      <formula>0</formula>
    </cfRule>
  </conditionalFormatting>
  <conditionalFormatting sqref="BL37">
    <cfRule type="cellIs" dxfId="127" priority="115" operator="equal">
      <formula>0</formula>
    </cfRule>
  </conditionalFormatting>
  <conditionalFormatting sqref="BM37">
    <cfRule type="cellIs" dxfId="126" priority="114" operator="equal">
      <formula>0</formula>
    </cfRule>
  </conditionalFormatting>
  <conditionalFormatting sqref="BN37">
    <cfRule type="cellIs" dxfId="125" priority="113" operator="equal">
      <formula>0</formula>
    </cfRule>
  </conditionalFormatting>
  <conditionalFormatting sqref="AS36:AV37">
    <cfRule type="expression" dxfId="124" priority="127">
      <formula>$AA$7="NO"</formula>
    </cfRule>
  </conditionalFormatting>
  <conditionalFormatting sqref="AY36:BD37">
    <cfRule type="expression" dxfId="123" priority="128">
      <formula>$AA$8="NO"</formula>
    </cfRule>
  </conditionalFormatting>
  <conditionalFormatting sqref="BI36:BO37">
    <cfRule type="expression" dxfId="122" priority="129">
      <formula>$AA$9="NO"</formula>
    </cfRule>
  </conditionalFormatting>
  <conditionalFormatting sqref="BH36">
    <cfRule type="cellIs" dxfId="121" priority="130" operator="equal">
      <formula>0</formula>
    </cfRule>
    <cfRule type="expression" dxfId="120" priority="131">
      <formula>$AA$9="NO"</formula>
    </cfRule>
  </conditionalFormatting>
  <conditionalFormatting sqref="BH37">
    <cfRule type="cellIs" dxfId="119" priority="132" operator="equal">
      <formula>0</formula>
    </cfRule>
    <cfRule type="expression" dxfId="118" priority="133">
      <formula>$AA$9="NO"</formula>
    </cfRule>
  </conditionalFormatting>
  <conditionalFormatting sqref="BI39">
    <cfRule type="cellIs" dxfId="117" priority="105" operator="equal">
      <formula>0</formula>
    </cfRule>
  </conditionalFormatting>
  <conditionalFormatting sqref="BJ39">
    <cfRule type="cellIs" dxfId="116" priority="104" operator="equal">
      <formula>0</formula>
    </cfRule>
  </conditionalFormatting>
  <conditionalFormatting sqref="BK39">
    <cfRule type="cellIs" dxfId="115" priority="103" operator="equal">
      <formula>0</formula>
    </cfRule>
  </conditionalFormatting>
  <conditionalFormatting sqref="BL39">
    <cfRule type="cellIs" dxfId="114" priority="102" operator="equal">
      <formula>0</formula>
    </cfRule>
  </conditionalFormatting>
  <conditionalFormatting sqref="BM39">
    <cfRule type="cellIs" dxfId="113" priority="101" operator="equal">
      <formula>0</formula>
    </cfRule>
  </conditionalFormatting>
  <conditionalFormatting sqref="BN39">
    <cfRule type="cellIs" dxfId="112" priority="100" operator="equal">
      <formula>0</formula>
    </cfRule>
  </conditionalFormatting>
  <conditionalFormatting sqref="BO39">
    <cfRule type="cellIs" dxfId="111" priority="99" operator="equal">
      <formula>0</formula>
    </cfRule>
  </conditionalFormatting>
  <conditionalFormatting sqref="BI40">
    <cfRule type="cellIs" dxfId="110" priority="98" operator="equal">
      <formula>0</formula>
    </cfRule>
  </conditionalFormatting>
  <conditionalFormatting sqref="BO40">
    <cfRule type="cellIs" dxfId="109" priority="97" operator="equal">
      <formula>0</formula>
    </cfRule>
  </conditionalFormatting>
  <conditionalFormatting sqref="BJ40">
    <cfRule type="cellIs" dxfId="108" priority="96" operator="equal">
      <formula>0</formula>
    </cfRule>
  </conditionalFormatting>
  <conditionalFormatting sqref="BK40">
    <cfRule type="cellIs" dxfId="107" priority="95" operator="equal">
      <formula>0</formula>
    </cfRule>
  </conditionalFormatting>
  <conditionalFormatting sqref="BL40">
    <cfRule type="cellIs" dxfId="106" priority="94" operator="equal">
      <formula>0</formula>
    </cfRule>
  </conditionalFormatting>
  <conditionalFormatting sqref="BM40">
    <cfRule type="cellIs" dxfId="105" priority="93" operator="equal">
      <formula>0</formula>
    </cfRule>
  </conditionalFormatting>
  <conditionalFormatting sqref="BN40">
    <cfRule type="cellIs" dxfId="104" priority="92" operator="equal">
      <formula>0</formula>
    </cfRule>
  </conditionalFormatting>
  <conditionalFormatting sqref="AS39:AV40">
    <cfRule type="expression" dxfId="103" priority="106">
      <formula>$AA$7="NO"</formula>
    </cfRule>
  </conditionalFormatting>
  <conditionalFormatting sqref="AY39:BD40">
    <cfRule type="expression" dxfId="102" priority="107">
      <formula>$AA$8="NO"</formula>
    </cfRule>
  </conditionalFormatting>
  <conditionalFormatting sqref="BI39:BO40">
    <cfRule type="expression" dxfId="101" priority="108">
      <formula>$AA$9="NO"</formula>
    </cfRule>
  </conditionalFormatting>
  <conditionalFormatting sqref="BH39">
    <cfRule type="cellIs" dxfId="100" priority="109" operator="equal">
      <formula>0</formula>
    </cfRule>
    <cfRule type="expression" dxfId="99" priority="110">
      <formula>$AA$9="NO"</formula>
    </cfRule>
  </conditionalFormatting>
  <conditionalFormatting sqref="BH40">
    <cfRule type="cellIs" dxfId="98" priority="111" operator="equal">
      <formula>0</formula>
    </cfRule>
    <cfRule type="expression" dxfId="97" priority="112">
      <formula>$AA$9="NO"</formula>
    </cfRule>
  </conditionalFormatting>
  <conditionalFormatting sqref="BI42">
    <cfRule type="cellIs" dxfId="96" priority="84" operator="equal">
      <formula>0</formula>
    </cfRule>
  </conditionalFormatting>
  <conditionalFormatting sqref="BJ42">
    <cfRule type="cellIs" dxfId="95" priority="83" operator="equal">
      <formula>0</formula>
    </cfRule>
  </conditionalFormatting>
  <conditionalFormatting sqref="BK42">
    <cfRule type="cellIs" dxfId="94" priority="82" operator="equal">
      <formula>0</formula>
    </cfRule>
  </conditionalFormatting>
  <conditionalFormatting sqref="BL42">
    <cfRule type="cellIs" dxfId="93" priority="81" operator="equal">
      <formula>0</formula>
    </cfRule>
  </conditionalFormatting>
  <conditionalFormatting sqref="BM42">
    <cfRule type="cellIs" dxfId="92" priority="80" operator="equal">
      <formula>0</formula>
    </cfRule>
  </conditionalFormatting>
  <conditionalFormatting sqref="BN42">
    <cfRule type="cellIs" dxfId="91" priority="79" operator="equal">
      <formula>0</formula>
    </cfRule>
  </conditionalFormatting>
  <conditionalFormatting sqref="BO42">
    <cfRule type="cellIs" dxfId="90" priority="78" operator="equal">
      <formula>0</formula>
    </cfRule>
  </conditionalFormatting>
  <conditionalFormatting sqref="BI43">
    <cfRule type="cellIs" dxfId="89" priority="77" operator="equal">
      <formula>0</formula>
    </cfRule>
  </conditionalFormatting>
  <conditionalFormatting sqref="BO43">
    <cfRule type="cellIs" dxfId="88" priority="76" operator="equal">
      <formula>0</formula>
    </cfRule>
  </conditionalFormatting>
  <conditionalFormatting sqref="BJ43">
    <cfRule type="cellIs" dxfId="87" priority="75" operator="equal">
      <formula>0</formula>
    </cfRule>
  </conditionalFormatting>
  <conditionalFormatting sqref="BK43">
    <cfRule type="cellIs" dxfId="86" priority="74" operator="equal">
      <formula>0</formula>
    </cfRule>
  </conditionalFormatting>
  <conditionalFormatting sqref="BL43">
    <cfRule type="cellIs" dxfId="85" priority="73" operator="equal">
      <formula>0</formula>
    </cfRule>
  </conditionalFormatting>
  <conditionalFormatting sqref="BM43">
    <cfRule type="cellIs" dxfId="84" priority="72" operator="equal">
      <formula>0</formula>
    </cfRule>
  </conditionalFormatting>
  <conditionalFormatting sqref="BN43">
    <cfRule type="cellIs" dxfId="83" priority="71" operator="equal">
      <formula>0</formula>
    </cfRule>
  </conditionalFormatting>
  <conditionalFormatting sqref="AS42:AV43">
    <cfRule type="expression" dxfId="82" priority="85">
      <formula>$AA$7="NO"</formula>
    </cfRule>
  </conditionalFormatting>
  <conditionalFormatting sqref="AY42:BD43">
    <cfRule type="expression" dxfId="81" priority="86">
      <formula>$AA$8="NO"</formula>
    </cfRule>
  </conditionalFormatting>
  <conditionalFormatting sqref="BI42:BO43">
    <cfRule type="expression" dxfId="80" priority="87">
      <formula>$AA$9="NO"</formula>
    </cfRule>
  </conditionalFormatting>
  <conditionalFormatting sqref="BH42">
    <cfRule type="cellIs" dxfId="79" priority="88" operator="equal">
      <formula>0</formula>
    </cfRule>
    <cfRule type="expression" dxfId="78" priority="89">
      <formula>$AA$9="NO"</formula>
    </cfRule>
  </conditionalFormatting>
  <conditionalFormatting sqref="BH43">
    <cfRule type="cellIs" dxfId="77" priority="90" operator="equal">
      <formula>0</formula>
    </cfRule>
    <cfRule type="expression" dxfId="76" priority="91">
      <formula>$AA$9="NO"</formula>
    </cfRule>
  </conditionalFormatting>
  <conditionalFormatting sqref="BI45">
    <cfRule type="cellIs" dxfId="75" priority="63" operator="equal">
      <formula>0</formula>
    </cfRule>
  </conditionalFormatting>
  <conditionalFormatting sqref="BJ45">
    <cfRule type="cellIs" dxfId="74" priority="62" operator="equal">
      <formula>0</formula>
    </cfRule>
  </conditionalFormatting>
  <conditionalFormatting sqref="BK45">
    <cfRule type="cellIs" dxfId="73" priority="61" operator="equal">
      <formula>0</formula>
    </cfRule>
  </conditionalFormatting>
  <conditionalFormatting sqref="BL45">
    <cfRule type="cellIs" dxfId="72" priority="60" operator="equal">
      <formula>0</formula>
    </cfRule>
  </conditionalFormatting>
  <conditionalFormatting sqref="BM45">
    <cfRule type="cellIs" dxfId="71" priority="59" operator="equal">
      <formula>0</formula>
    </cfRule>
  </conditionalFormatting>
  <conditionalFormatting sqref="BN45">
    <cfRule type="cellIs" dxfId="70" priority="58" operator="equal">
      <formula>0</formula>
    </cfRule>
  </conditionalFormatting>
  <conditionalFormatting sqref="BO45">
    <cfRule type="cellIs" dxfId="69" priority="57" operator="equal">
      <formula>0</formula>
    </cfRule>
  </conditionalFormatting>
  <conditionalFormatting sqref="BI46">
    <cfRule type="cellIs" dxfId="68" priority="56" operator="equal">
      <formula>0</formula>
    </cfRule>
  </conditionalFormatting>
  <conditionalFormatting sqref="BO46">
    <cfRule type="cellIs" dxfId="67" priority="55" operator="equal">
      <formula>0</formula>
    </cfRule>
  </conditionalFormatting>
  <conditionalFormatting sqref="BJ46">
    <cfRule type="cellIs" dxfId="66" priority="54" operator="equal">
      <formula>0</formula>
    </cfRule>
  </conditionalFormatting>
  <conditionalFormatting sqref="BK46">
    <cfRule type="cellIs" dxfId="65" priority="53" operator="equal">
      <formula>0</formula>
    </cfRule>
  </conditionalFormatting>
  <conditionalFormatting sqref="BL46">
    <cfRule type="cellIs" dxfId="64" priority="52" operator="equal">
      <formula>0</formula>
    </cfRule>
  </conditionalFormatting>
  <conditionalFormatting sqref="BM46">
    <cfRule type="cellIs" dxfId="63" priority="51" operator="equal">
      <formula>0</formula>
    </cfRule>
  </conditionalFormatting>
  <conditionalFormatting sqref="BN46">
    <cfRule type="cellIs" dxfId="62" priority="50" operator="equal">
      <formula>0</formula>
    </cfRule>
  </conditionalFormatting>
  <conditionalFormatting sqref="AS45:AV46">
    <cfRule type="expression" dxfId="61" priority="64">
      <formula>$AA$7="NO"</formula>
    </cfRule>
  </conditionalFormatting>
  <conditionalFormatting sqref="AY45:BD46">
    <cfRule type="expression" dxfId="60" priority="65">
      <formula>$AA$8="NO"</formula>
    </cfRule>
  </conditionalFormatting>
  <conditionalFormatting sqref="BI45:BO46">
    <cfRule type="expression" dxfId="59" priority="66">
      <formula>$AA$9="NO"</formula>
    </cfRule>
  </conditionalFormatting>
  <conditionalFormatting sqref="BH45">
    <cfRule type="cellIs" dxfId="58" priority="67" operator="equal">
      <formula>0</formula>
    </cfRule>
    <cfRule type="expression" dxfId="57" priority="68">
      <formula>$AA$9="NO"</formula>
    </cfRule>
  </conditionalFormatting>
  <conditionalFormatting sqref="BH46">
    <cfRule type="cellIs" dxfId="56" priority="69" operator="equal">
      <formula>0</formula>
    </cfRule>
    <cfRule type="expression" dxfId="55" priority="70">
      <formula>$AA$9="NO"</formula>
    </cfRule>
  </conditionalFormatting>
  <conditionalFormatting sqref="AZ50">
    <cfRule type="expression" dxfId="54" priority="46">
      <formula>$AA$6="NO"</formula>
    </cfRule>
    <cfRule type="expression" dxfId="53" priority="47">
      <formula>$AA$8="NO"</formula>
    </cfRule>
  </conditionalFormatting>
  <conditionalFormatting sqref="BB50">
    <cfRule type="expression" dxfId="52" priority="44">
      <formula>$AA$6="NO"</formula>
    </cfRule>
    <cfRule type="expression" dxfId="51" priority="45">
      <formula>$AA$8="NO"</formula>
    </cfRule>
  </conditionalFormatting>
  <conditionalFormatting sqref="BD50">
    <cfRule type="expression" dxfId="50" priority="42">
      <formula>$AA$6="NO"</formula>
    </cfRule>
    <cfRule type="expression" dxfId="49" priority="43">
      <formula>$AA$8="NO"</formula>
    </cfRule>
  </conditionalFormatting>
  <conditionalFormatting sqref="BI50">
    <cfRule type="expression" dxfId="48" priority="39">
      <formula>$AA$9="NO"</formula>
    </cfRule>
    <cfRule type="expression" dxfId="47" priority="40">
      <formula>$AA$6="NO"</formula>
    </cfRule>
  </conditionalFormatting>
  <conditionalFormatting sqref="BJ50">
    <cfRule type="expression" dxfId="46" priority="37">
      <formula>$AA$9="NO"</formula>
    </cfRule>
    <cfRule type="expression" dxfId="45" priority="38">
      <formula>$AA$6="NO"</formula>
    </cfRule>
  </conditionalFormatting>
  <conditionalFormatting sqref="BK50">
    <cfRule type="expression" dxfId="44" priority="35">
      <formula>$AA$9="NO"</formula>
    </cfRule>
    <cfRule type="expression" dxfId="43" priority="36">
      <formula>$AA$6="NO"</formula>
    </cfRule>
  </conditionalFormatting>
  <conditionalFormatting sqref="BL50">
    <cfRule type="expression" dxfId="42" priority="33">
      <formula>$AA$9="NO"</formula>
    </cfRule>
    <cfRule type="expression" dxfId="41" priority="34">
      <formula>$AA$6="NO"</formula>
    </cfRule>
  </conditionalFormatting>
  <conditionalFormatting sqref="BM50">
    <cfRule type="expression" dxfId="40" priority="31">
      <formula>$AA$9="NO"</formula>
    </cfRule>
    <cfRule type="expression" dxfId="39" priority="32">
      <formula>$AA$6="NO"</formula>
    </cfRule>
  </conditionalFormatting>
  <conditionalFormatting sqref="BN50">
    <cfRule type="expression" dxfId="38" priority="29">
      <formula>$AA$9="NO"</formula>
    </cfRule>
    <cfRule type="expression" dxfId="37" priority="30">
      <formula>$AA$6="NO"</formula>
    </cfRule>
  </conditionalFormatting>
  <conditionalFormatting sqref="O6">
    <cfRule type="expression" dxfId="36" priority="27">
      <formula>$S6+$J6=1</formula>
    </cfRule>
    <cfRule type="cellIs" dxfId="35" priority="28" operator="greaterThan">
      <formula>0</formula>
    </cfRule>
  </conditionalFormatting>
  <conditionalFormatting sqref="O7">
    <cfRule type="expression" dxfId="34" priority="24">
      <formula>$S7+$J7=1</formula>
    </cfRule>
    <cfRule type="cellIs" dxfId="33" priority="25" operator="greaterThan">
      <formula>0</formula>
    </cfRule>
  </conditionalFormatting>
  <conditionalFormatting sqref="Y27">
    <cfRule type="cellIs" dxfId="32" priority="21" operator="equal">
      <formula>0</formula>
    </cfRule>
  </conditionalFormatting>
  <conditionalFormatting sqref="AS27:AV27">
    <cfRule type="expression" dxfId="31" priority="20">
      <formula>$AA$7="NO"</formula>
    </cfRule>
  </conditionalFormatting>
  <conditionalFormatting sqref="AY27:BD27">
    <cfRule type="expression" dxfId="30" priority="17">
      <formula>$AA$8="NO"</formula>
    </cfRule>
  </conditionalFormatting>
  <conditionalFormatting sqref="BH27:BO27">
    <cfRule type="cellIs" dxfId="29" priority="18" operator="equal">
      <formula>0</formula>
    </cfRule>
    <cfRule type="expression" dxfId="28" priority="19">
      <formula>$AA$9="NO"</formula>
    </cfRule>
  </conditionalFormatting>
  <conditionalFormatting sqref="W30">
    <cfRule type="expression" dxfId="27" priority="13">
      <formula>$R30=""</formula>
    </cfRule>
  </conditionalFormatting>
  <conditionalFormatting sqref="W34">
    <cfRule type="expression" dxfId="26" priority="11">
      <formula>$AA$6="NO"</formula>
    </cfRule>
    <cfRule type="expression" dxfId="25" priority="12">
      <formula>$R34=""</formula>
    </cfRule>
  </conditionalFormatting>
  <conditionalFormatting sqref="W37">
    <cfRule type="expression" dxfId="24" priority="9">
      <formula>$AA$6="NO"</formula>
    </cfRule>
    <cfRule type="expression" dxfId="23" priority="10">
      <formula>$R37=""</formula>
    </cfRule>
  </conditionalFormatting>
  <conditionalFormatting sqref="W40">
    <cfRule type="expression" dxfId="22" priority="7">
      <formula>$AA$6="NO"</formula>
    </cfRule>
    <cfRule type="expression" dxfId="21" priority="8">
      <formula>$R40=""</formula>
    </cfRule>
  </conditionalFormatting>
  <conditionalFormatting sqref="W43">
    <cfRule type="expression" dxfId="20" priority="5">
      <formula>$AA$6="NO"</formula>
    </cfRule>
    <cfRule type="expression" dxfId="19" priority="6">
      <formula>$R43=""</formula>
    </cfRule>
  </conditionalFormatting>
  <conditionalFormatting sqref="W46">
    <cfRule type="expression" dxfId="18" priority="3">
      <formula>$AA$6="NO"</formula>
    </cfRule>
    <cfRule type="expression" dxfId="17" priority="4">
      <formula>$R46=""</formula>
    </cfRule>
  </conditionalFormatting>
  <conditionalFormatting sqref="O9">
    <cfRule type="expression" dxfId="16" priority="1">
      <formula>$S9+$J9=1</formula>
    </cfRule>
    <cfRule type="cellIs" dxfId="15" priority="2" operator="greaterThan">
      <formula>0</formula>
    </cfRule>
  </conditionalFormatting>
  <dataValidations count="3">
    <dataValidation type="list" allowBlank="1" showInputMessage="1" showErrorMessage="1" sqref="AA6:AA9" xr:uid="{00000000-0002-0000-0500-000000000000}">
      <formula1>$BY$16:$BY$17</formula1>
    </dataValidation>
    <dataValidation type="list" allowBlank="1" showInputMessage="1" showErrorMessage="1" sqref="AI5" xr:uid="{00000000-0002-0000-0500-000001000000}">
      <formula1>$A$79:$A$82</formula1>
    </dataValidation>
    <dataValidation allowBlank="1" showErrorMessage="1" sqref="AS49 AU48:AU50" xr:uid="{00000000-0002-0000-0500-000002000000}"/>
  </dataValidations>
  <pageMargins left="0.25" right="0.25" top="0.75" bottom="0.75" header="0.3" footer="0.3"/>
  <pageSetup paperSize="9" scale="38"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3000000}">
          <x14:formula1>
            <xm:f>'Data source'!$B$238:$B$248</xm:f>
          </x14:formula1>
          <xm:sqref>G9</xm:sqref>
        </x14:dataValidation>
        <x14:dataValidation type="list" allowBlank="1" showInputMessage="1" showErrorMessage="1" xr:uid="{00000000-0002-0000-0500-000006000000}">
          <x14:formula1>
            <xm:f>'Data source'!$B$4:$B$12</xm:f>
          </x14:formula1>
          <xm:sqref>BA5</xm:sqref>
        </x14:dataValidation>
        <x14:dataValidation type="list" allowBlank="1" showInputMessage="1" showErrorMessage="1" xr:uid="{00000000-0002-0000-0500-000007000000}">
          <x14:formula1>
            <xm:f>'Data source'!$B$3:$B$12</xm:f>
          </x14:formula1>
          <xm:sqref>G14</xm:sqref>
        </x14:dataValidation>
        <x14:dataValidation type="list" allowBlank="1" showInputMessage="1" showErrorMessage="1" xr:uid="{00000000-0002-0000-0500-000004000000}">
          <x14:formula1>
            <xm:f>'Drop down list set up'!$L$13:$L$13</xm:f>
          </x14:formula1>
          <xm:sqref>G30:H31 G45:H46 G42:H43 G39:H40 G36:H37 G33:H34</xm:sqref>
        </x14:dataValidation>
        <x14:dataValidation type="list" allowBlank="1" showInputMessage="1" showErrorMessage="1" xr:uid="{00000000-0002-0000-0500-000005000000}">
          <x14:formula1>
            <xm:f>'Drop down list set up'!$A$19:$A$23</xm:f>
          </x14:formula1>
          <xm:sqref>G27:H28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theme="2" tint="-0.499984740745262"/>
    <pageSetUpPr fitToPage="1"/>
  </sheetPr>
  <dimension ref="A1:AU64"/>
  <sheetViews>
    <sheetView zoomScale="60" zoomScaleNormal="60" workbookViewId="0">
      <selection activeCell="AE20" sqref="AE20"/>
    </sheetView>
  </sheetViews>
  <sheetFormatPr defaultRowHeight="14.4"/>
  <cols>
    <col min="1" max="1" width="6.5546875" customWidth="1"/>
    <col min="2" max="2" width="2.88671875" customWidth="1"/>
    <col min="3" max="3" width="13" customWidth="1"/>
    <col min="4" max="4" width="10.5546875" customWidth="1"/>
    <col min="5" max="7" width="9.5546875" customWidth="1"/>
    <col min="8" max="8" width="11" customWidth="1"/>
    <col min="9" max="12" width="9.5546875" customWidth="1"/>
    <col min="13" max="13" width="6.44140625" customWidth="1"/>
    <col min="14" max="15" width="9.5546875" customWidth="1"/>
    <col min="16" max="16" width="9.5546875" style="52" customWidth="1"/>
    <col min="17" max="18" width="9.5546875" customWidth="1"/>
    <col min="19" max="19" width="14.44140625" style="52" bestFit="1" customWidth="1"/>
    <col min="20" max="20" width="13.44140625" customWidth="1"/>
    <col min="21" max="21" width="11" customWidth="1"/>
    <col min="22" max="24" width="10.88671875" customWidth="1"/>
    <col min="25" max="25" width="4" customWidth="1"/>
    <col min="26" max="26" width="3.109375" customWidth="1"/>
  </cols>
  <sheetData>
    <row r="1" spans="1:47">
      <c r="A1" s="7"/>
      <c r="B1" s="7"/>
      <c r="C1" s="7"/>
      <c r="D1" s="7"/>
      <c r="E1" s="7"/>
      <c r="F1" s="7"/>
      <c r="G1" s="7"/>
      <c r="H1" s="7"/>
      <c r="I1" s="7"/>
      <c r="J1" s="7"/>
      <c r="K1" s="7"/>
      <c r="L1" s="7"/>
      <c r="M1" s="7"/>
      <c r="N1" s="7"/>
      <c r="O1" s="7"/>
      <c r="P1" s="26"/>
      <c r="Q1" s="7"/>
      <c r="R1" s="7"/>
      <c r="S1" s="26"/>
      <c r="T1" s="7"/>
      <c r="U1" s="7"/>
      <c r="V1" s="7"/>
      <c r="W1" s="7"/>
      <c r="X1" s="7"/>
      <c r="Y1" s="7"/>
      <c r="Z1" s="7"/>
      <c r="AA1" s="7"/>
      <c r="AB1" s="7"/>
      <c r="AC1" s="7"/>
      <c r="AD1" s="7"/>
      <c r="AE1" s="7"/>
      <c r="AF1" s="7"/>
      <c r="AG1" s="7"/>
      <c r="AH1" s="7"/>
      <c r="AI1" s="7"/>
      <c r="AJ1" s="7"/>
      <c r="AK1" s="7"/>
      <c r="AL1" s="7"/>
      <c r="AM1" s="7"/>
      <c r="AN1" s="7"/>
      <c r="AO1" s="7"/>
      <c r="AP1" s="7"/>
      <c r="AQ1" s="7"/>
      <c r="AR1" s="7"/>
      <c r="AS1" s="7"/>
      <c r="AT1" s="7"/>
      <c r="AU1" s="7"/>
    </row>
    <row r="2" spans="1:47" ht="9" customHeight="1">
      <c r="A2" s="7"/>
      <c r="B2" s="53"/>
      <c r="C2" s="53"/>
      <c r="D2" s="53"/>
      <c r="E2" s="53"/>
      <c r="F2" s="53"/>
      <c r="G2" s="53"/>
      <c r="H2" s="53"/>
      <c r="I2" s="53"/>
      <c r="J2" s="53"/>
      <c r="K2" s="53"/>
      <c r="L2" s="53"/>
      <c r="M2" s="53"/>
      <c r="N2" s="53"/>
      <c r="O2" s="53"/>
      <c r="P2" s="96"/>
      <c r="Q2" s="53"/>
      <c r="R2" s="53"/>
      <c r="S2" s="96"/>
      <c r="T2" s="53"/>
      <c r="U2" s="53"/>
      <c r="V2" s="53"/>
      <c r="W2" s="53"/>
      <c r="X2" s="53"/>
      <c r="Y2" s="53"/>
      <c r="Z2" s="53"/>
      <c r="AA2" s="7"/>
      <c r="AB2" s="7"/>
      <c r="AC2" s="7"/>
      <c r="AD2" s="7"/>
      <c r="AE2" s="7"/>
      <c r="AF2" s="7"/>
      <c r="AG2" s="7"/>
      <c r="AH2" s="7"/>
      <c r="AI2" s="7"/>
      <c r="AJ2" s="7"/>
      <c r="AK2" s="7"/>
      <c r="AL2" s="7"/>
      <c r="AM2" s="7"/>
      <c r="AN2" s="7"/>
      <c r="AO2" s="7"/>
      <c r="AP2" s="7"/>
      <c r="AQ2" s="7"/>
      <c r="AR2" s="7"/>
      <c r="AS2" s="7"/>
      <c r="AT2" s="7"/>
      <c r="AU2" s="7"/>
    </row>
    <row r="3" spans="1:47" ht="33.6">
      <c r="A3" s="7"/>
      <c r="B3" s="45" t="s">
        <v>391</v>
      </c>
      <c r="C3" s="45"/>
      <c r="D3" s="43"/>
      <c r="E3" s="43"/>
      <c r="F3" s="43"/>
      <c r="G3" s="43"/>
      <c r="H3" s="43"/>
      <c r="I3" s="43"/>
      <c r="J3" s="43"/>
      <c r="K3" s="43"/>
      <c r="L3" s="43"/>
      <c r="M3" s="33"/>
      <c r="N3" s="53"/>
      <c r="O3" s="53"/>
      <c r="P3" s="96"/>
      <c r="Q3" s="53"/>
      <c r="R3" s="53"/>
      <c r="S3" s="96"/>
      <c r="T3" s="53"/>
      <c r="U3" s="53"/>
      <c r="V3" s="53"/>
      <c r="W3" s="53"/>
      <c r="X3" s="53"/>
      <c r="Y3" s="53"/>
      <c r="Z3" s="53"/>
      <c r="AA3" s="7"/>
      <c r="AB3" s="7"/>
      <c r="AC3" s="7"/>
      <c r="AD3" s="7"/>
      <c r="AE3" s="7"/>
      <c r="AF3" s="7"/>
      <c r="AG3" s="7"/>
      <c r="AH3" s="7"/>
      <c r="AI3" s="7"/>
      <c r="AJ3" s="7"/>
      <c r="AK3" s="7"/>
      <c r="AL3" s="7"/>
      <c r="AM3" s="7"/>
      <c r="AN3" s="7"/>
      <c r="AO3" s="7"/>
      <c r="AP3" s="7"/>
      <c r="AQ3" s="7"/>
      <c r="AR3" s="7"/>
      <c r="AS3" s="7"/>
      <c r="AT3" s="7"/>
      <c r="AU3" s="7"/>
    </row>
    <row r="4" spans="1:47" ht="20.100000000000001" customHeight="1">
      <c r="A4" s="7"/>
      <c r="B4" s="938"/>
      <c r="C4" s="939"/>
      <c r="D4" s="939"/>
      <c r="E4" s="939"/>
      <c r="F4" s="939"/>
      <c r="G4" s="939"/>
      <c r="H4" s="939"/>
      <c r="I4" s="939"/>
      <c r="J4" s="939"/>
      <c r="K4" s="939"/>
      <c r="L4" s="939"/>
      <c r="M4" s="939"/>
      <c r="N4" s="939"/>
      <c r="O4" s="939"/>
      <c r="P4" s="940"/>
      <c r="Q4" s="939"/>
      <c r="R4" s="939"/>
      <c r="S4" s="940"/>
      <c r="T4" s="939"/>
      <c r="U4" s="939"/>
      <c r="V4" s="939"/>
      <c r="W4" s="939"/>
      <c r="X4" s="939"/>
      <c r="Y4" s="939"/>
      <c r="Z4" s="941"/>
      <c r="AA4" s="7"/>
      <c r="AB4" s="7"/>
      <c r="AC4" s="7"/>
      <c r="AD4" s="7"/>
      <c r="AE4" s="7"/>
      <c r="AF4" s="7"/>
      <c r="AG4" s="7"/>
      <c r="AH4" s="7"/>
      <c r="AI4" s="7"/>
      <c r="AJ4" s="7"/>
      <c r="AK4" s="7"/>
      <c r="AL4" s="7"/>
      <c r="AM4" s="7"/>
      <c r="AN4" s="7"/>
      <c r="AO4" s="7"/>
      <c r="AP4" s="7"/>
      <c r="AQ4" s="7"/>
      <c r="AR4" s="7"/>
      <c r="AS4" s="7"/>
      <c r="AT4" s="7"/>
      <c r="AU4" s="7"/>
    </row>
    <row r="5" spans="1:47" ht="20.100000000000001" customHeight="1">
      <c r="A5" s="7"/>
      <c r="B5" s="942"/>
      <c r="C5" s="927" t="s">
        <v>177</v>
      </c>
      <c r="D5" s="928"/>
      <c r="E5" s="928"/>
      <c r="F5" s="928"/>
      <c r="G5" s="929"/>
      <c r="H5" s="7"/>
      <c r="I5" s="7"/>
      <c r="J5" s="980" t="s">
        <v>339</v>
      </c>
      <c r="K5" s="980"/>
      <c r="L5" s="927" t="s">
        <v>182</v>
      </c>
      <c r="M5" s="928"/>
      <c r="N5" s="928"/>
      <c r="O5" s="928"/>
      <c r="P5" s="980" t="s">
        <v>146</v>
      </c>
      <c r="Q5" s="980"/>
      <c r="R5" s="980"/>
      <c r="S5" s="980"/>
      <c r="T5" s="980" t="s">
        <v>405</v>
      </c>
      <c r="U5" s="1907" t="s">
        <v>201</v>
      </c>
      <c r="V5" s="1908"/>
      <c r="W5" s="1909" t="s">
        <v>202</v>
      </c>
      <c r="X5" s="1910"/>
      <c r="Y5" s="7"/>
      <c r="Z5" s="943"/>
      <c r="AA5" s="7"/>
      <c r="AB5" s="7"/>
      <c r="AC5" s="7"/>
      <c r="AD5" s="7"/>
      <c r="AE5" s="7"/>
      <c r="AF5" s="7"/>
      <c r="AG5" s="7"/>
      <c r="AH5" s="7"/>
      <c r="AI5" s="7"/>
      <c r="AJ5" s="7"/>
      <c r="AK5" s="7"/>
      <c r="AL5" s="7"/>
      <c r="AM5" s="7"/>
      <c r="AN5" s="7"/>
      <c r="AO5" s="7"/>
      <c r="AP5" s="7"/>
      <c r="AQ5" s="7"/>
      <c r="AR5" s="7"/>
      <c r="AS5" s="7"/>
      <c r="AT5" s="7"/>
      <c r="AU5" s="7"/>
    </row>
    <row r="6" spans="1:47" ht="20.100000000000001" customHeight="1">
      <c r="A6" s="7"/>
      <c r="B6" s="942"/>
      <c r="C6" s="7" t="s">
        <v>396</v>
      </c>
      <c r="D6" s="7"/>
      <c r="E6" s="7"/>
      <c r="F6" s="7"/>
      <c r="G6" s="32">
        <f>IF('   ASK    '!E8="","-",'   ASK    '!E8)</f>
        <v>100</v>
      </c>
      <c r="H6" s="7"/>
      <c r="I6" s="7"/>
      <c r="J6" s="54"/>
      <c r="K6" s="54"/>
      <c r="L6" s="55"/>
      <c r="M6" s="53"/>
      <c r="N6" s="53"/>
      <c r="O6" s="53"/>
      <c r="P6" s="54"/>
      <c r="Q6" s="54"/>
      <c r="R6" s="54"/>
      <c r="S6" s="54"/>
      <c r="T6" s="52"/>
      <c r="U6" s="978" t="s">
        <v>387</v>
      </c>
      <c r="V6" s="979" t="s">
        <v>389</v>
      </c>
      <c r="W6" s="978" t="s">
        <v>387</v>
      </c>
      <c r="X6" s="979" t="s">
        <v>389</v>
      </c>
      <c r="Y6" s="7"/>
      <c r="Z6" s="943"/>
      <c r="AA6" s="7"/>
      <c r="AB6" s="7"/>
      <c r="AC6" s="7"/>
      <c r="AD6" s="7"/>
      <c r="AE6" s="7"/>
      <c r="AF6" s="7"/>
      <c r="AG6" s="7"/>
      <c r="AH6" s="7"/>
      <c r="AI6" s="7"/>
      <c r="AJ6" s="7"/>
      <c r="AK6" s="7"/>
      <c r="AL6" s="7"/>
      <c r="AM6" s="7"/>
      <c r="AN6" s="7"/>
      <c r="AO6" s="7"/>
      <c r="AP6" s="7"/>
      <c r="AQ6" s="7"/>
      <c r="AR6" s="7"/>
      <c r="AS6" s="7"/>
      <c r="AT6" s="7"/>
      <c r="AU6" s="7"/>
    </row>
    <row r="7" spans="1:47" ht="20.100000000000001" customHeight="1">
      <c r="A7" s="7"/>
      <c r="B7" s="942"/>
      <c r="C7" s="44" t="str">
        <f>FEEDCHECKER!J8</f>
        <v>Terrain</v>
      </c>
      <c r="D7" s="44"/>
      <c r="E7" s="44"/>
      <c r="F7" s="44"/>
      <c r="G7" s="105" t="str">
        <f>IF('   ASK    '!E11="","-",'   ASK    '!E11)</f>
        <v>flat</v>
      </c>
      <c r="H7" s="7"/>
      <c r="I7" s="7"/>
      <c r="J7" s="32"/>
      <c r="K7" s="53"/>
      <c r="L7" s="53"/>
      <c r="M7" s="53"/>
      <c r="N7" s="53"/>
      <c r="O7" s="53"/>
      <c r="P7" s="53"/>
      <c r="Q7" s="53"/>
      <c r="R7" s="53"/>
      <c r="S7" s="53"/>
      <c r="T7" s="52"/>
      <c r="U7" s="978" t="s">
        <v>388</v>
      </c>
      <c r="V7" s="979" t="s">
        <v>390</v>
      </c>
      <c r="W7" s="978" t="s">
        <v>388</v>
      </c>
      <c r="X7" s="979" t="s">
        <v>390</v>
      </c>
      <c r="Y7" s="7"/>
      <c r="Z7" s="943"/>
      <c r="AA7" s="7"/>
      <c r="AB7" s="7"/>
      <c r="AC7" s="7"/>
      <c r="AD7" s="7"/>
      <c r="AE7" s="7"/>
      <c r="AF7" s="7"/>
      <c r="AG7" s="7"/>
      <c r="AH7" s="7"/>
      <c r="AI7" s="7"/>
      <c r="AJ7" s="7"/>
      <c r="AK7" s="7"/>
      <c r="AL7" s="7"/>
      <c r="AM7" s="7"/>
      <c r="AN7" s="7"/>
      <c r="AO7" s="7"/>
      <c r="AP7" s="7"/>
      <c r="AQ7" s="7"/>
      <c r="AR7" s="7"/>
      <c r="AS7" s="7"/>
      <c r="AT7" s="7"/>
      <c r="AU7" s="7"/>
    </row>
    <row r="8" spans="1:47" ht="21.75" customHeight="1">
      <c r="A8" s="7"/>
      <c r="B8" s="942"/>
      <c r="C8" s="7" t="s">
        <v>397</v>
      </c>
      <c r="D8" s="7"/>
      <c r="E8" s="7"/>
      <c r="F8" s="7"/>
      <c r="G8" s="32"/>
      <c r="H8" s="7"/>
      <c r="I8" s="7"/>
      <c r="J8" s="981" t="str">
        <f>IF(FEEDCHECKER!C40="","-",FEEDCHECKER!C40)</f>
        <v>PASTURE</v>
      </c>
      <c r="K8" s="981"/>
      <c r="L8" s="981" t="str">
        <f>IF(FEEDCHECKER!E40="","-",FEEDCHECKER!E40)</f>
        <v>-</v>
      </c>
      <c r="M8" s="981"/>
      <c r="N8" s="981"/>
      <c r="O8" s="981"/>
      <c r="P8" s="981" t="str">
        <f>IF(FEEDCHECKER!H40="","-",FEEDCHECKER!H40)</f>
        <v>-</v>
      </c>
      <c r="Q8" s="981"/>
      <c r="R8" s="981"/>
      <c r="S8" s="981"/>
      <c r="T8" s="981" t="s">
        <v>389</v>
      </c>
      <c r="U8" s="931" t="str">
        <f>IF(FEEDCHECKER!K40="","-",FEEDCHECKER!K40)</f>
        <v>-</v>
      </c>
      <c r="V8" s="932" t="str">
        <f>IF($P$8="-","-",($G$22*$U8)/1000)</f>
        <v>-</v>
      </c>
      <c r="W8" s="931" t="str">
        <f>IF(FEEDCHECKER!O40="","-",FEEDCHECKER!O40)</f>
        <v>-</v>
      </c>
      <c r="X8" s="932" t="str">
        <f>IF($P$8="-","-",($G$22*$U8)/1000)</f>
        <v>-</v>
      </c>
      <c r="Y8" s="7"/>
      <c r="Z8" s="943"/>
      <c r="AA8" s="7"/>
      <c r="AB8" s="7"/>
      <c r="AC8" s="7"/>
      <c r="AD8" s="7"/>
      <c r="AE8" s="7"/>
      <c r="AF8" s="7"/>
      <c r="AG8" s="7"/>
      <c r="AH8" s="7"/>
      <c r="AI8" s="7"/>
      <c r="AJ8" s="7"/>
      <c r="AK8" s="7"/>
      <c r="AL8" s="7"/>
      <c r="AM8" s="7"/>
      <c r="AN8" s="7"/>
      <c r="AO8" s="7"/>
      <c r="AP8" s="7"/>
      <c r="AQ8" s="7"/>
      <c r="AR8" s="7"/>
      <c r="AS8" s="7"/>
      <c r="AT8" s="7"/>
      <c r="AU8" s="7"/>
    </row>
    <row r="9" spans="1:47" ht="15.75" customHeight="1">
      <c r="A9" s="7"/>
      <c r="B9" s="942"/>
      <c r="C9" s="7" t="s">
        <v>399</v>
      </c>
      <c r="D9" s="7"/>
      <c r="E9" s="7"/>
      <c r="F9" s="7"/>
      <c r="G9" s="7"/>
      <c r="H9" s="7"/>
      <c r="I9" s="7"/>
      <c r="J9" s="96" t="str">
        <f>IF(FEEDCHECKER!C43="","-",FEEDCHECKER!C43)</f>
        <v>-</v>
      </c>
      <c r="K9" s="96"/>
      <c r="L9" s="96" t="str">
        <f>IF(FEEDCHECKER!E43="","-",FEEDCHECKER!E43)</f>
        <v>-</v>
      </c>
      <c r="M9" s="96"/>
      <c r="N9" s="96"/>
      <c r="O9" s="96"/>
      <c r="P9" s="96" t="str">
        <f>IF(FEEDCHECKER!H43="","-",FEEDCHECKER!H43)</f>
        <v>-</v>
      </c>
      <c r="Q9" s="96"/>
      <c r="R9" s="96"/>
      <c r="S9" s="96"/>
      <c r="T9" s="52"/>
      <c r="U9" s="933" t="str">
        <f>IF(FEEDCHECKER!K43="","-",FEEDCHECKER!K43)</f>
        <v>-</v>
      </c>
      <c r="V9" s="934" t="str">
        <f>IF($P$9="-","-",($G$22*$U9)/1000)</f>
        <v>-</v>
      </c>
      <c r="W9" s="933" t="str">
        <f>IF(FEEDCHECKER!O43="","-",FEEDCHECKER!O43)</f>
        <v>-</v>
      </c>
      <c r="X9" s="934" t="str">
        <f>IF($P$9="-","-",($G$22*$W9)/1000)</f>
        <v>-</v>
      </c>
      <c r="Y9" s="7"/>
      <c r="Z9" s="943"/>
      <c r="AA9" s="7"/>
      <c r="AB9" s="7"/>
      <c r="AC9" s="7"/>
      <c r="AD9" s="7"/>
      <c r="AE9" s="7"/>
      <c r="AF9" s="7"/>
      <c r="AG9" s="7"/>
      <c r="AH9" s="7"/>
      <c r="AI9" s="7"/>
      <c r="AJ9" s="7"/>
      <c r="AK9" s="7"/>
      <c r="AL9" s="7"/>
      <c r="AM9" s="7"/>
      <c r="AN9" s="7"/>
      <c r="AO9" s="7"/>
      <c r="AP9" s="7"/>
      <c r="AQ9" s="7"/>
      <c r="AR9" s="7"/>
      <c r="AS9" s="7"/>
      <c r="AT9" s="7"/>
      <c r="AU9" s="7"/>
    </row>
    <row r="10" spans="1:47" ht="15.75" customHeight="1">
      <c r="A10" s="7"/>
      <c r="B10" s="942"/>
      <c r="C10" s="7" t="s">
        <v>401</v>
      </c>
      <c r="D10" s="7"/>
      <c r="E10" s="7"/>
      <c r="F10" s="7"/>
      <c r="G10" s="7"/>
      <c r="H10" s="7"/>
      <c r="I10" s="7"/>
      <c r="J10" s="95" t="str">
        <f>IF(FEEDCHECKER!C46="","-",FEEDCHECKER!C46)</f>
        <v>-</v>
      </c>
      <c r="K10" s="95"/>
      <c r="L10" s="95" t="str">
        <f>IF(FEEDCHECKER!E46="","-",FEEDCHECKER!E46)</f>
        <v>-</v>
      </c>
      <c r="M10" s="95"/>
      <c r="N10" s="95"/>
      <c r="O10" s="95"/>
      <c r="P10" s="95" t="str">
        <f>IF(FEEDCHECKER!H46="","-",FEEDCHECKER!H46)</f>
        <v>-</v>
      </c>
      <c r="Q10" s="95"/>
      <c r="R10" s="95"/>
      <c r="S10" s="95"/>
      <c r="T10" s="52"/>
      <c r="U10" s="935" t="str">
        <f>IF(FEEDCHECKER!K46="","-",FEEDCHECKER!K46)</f>
        <v>-</v>
      </c>
      <c r="V10" s="936" t="str">
        <f>IF($P$10="-","-",($G$22*$U10)/1000)</f>
        <v>-</v>
      </c>
      <c r="W10" s="935" t="str">
        <f>IF(FEEDCHECKER!O46="","-",FEEDCHECKER!O46)</f>
        <v>-</v>
      </c>
      <c r="X10" s="936" t="str">
        <f>IF($P$10="-","-",($G$22*$W10)/1000)</f>
        <v>-</v>
      </c>
      <c r="Y10" s="7"/>
      <c r="Z10" s="943"/>
      <c r="AA10" s="7"/>
      <c r="AB10" s="7"/>
      <c r="AC10" s="7"/>
      <c r="AD10" s="7"/>
      <c r="AE10" s="7"/>
      <c r="AF10" s="7"/>
      <c r="AG10" s="7"/>
      <c r="AH10" s="7"/>
      <c r="AI10" s="7"/>
      <c r="AJ10" s="7"/>
      <c r="AK10" s="7"/>
      <c r="AL10" s="7"/>
      <c r="AM10" s="7"/>
      <c r="AN10" s="7"/>
      <c r="AO10" s="7"/>
      <c r="AP10" s="7"/>
      <c r="AQ10" s="7"/>
      <c r="AR10" s="7"/>
      <c r="AS10" s="7"/>
      <c r="AT10" s="7"/>
      <c r="AU10" s="7"/>
    </row>
    <row r="11" spans="1:47" ht="20.100000000000001" customHeight="1">
      <c r="A11" s="7"/>
      <c r="B11" s="942"/>
      <c r="D11" s="7"/>
      <c r="E11" s="7"/>
      <c r="F11" s="7"/>
      <c r="H11" s="7"/>
      <c r="I11" s="7"/>
      <c r="J11" s="96" t="str">
        <f>IF(FEEDCHECKER!C58="","-",FEEDCHECKER!C58)</f>
        <v>-</v>
      </c>
      <c r="K11" s="96"/>
      <c r="L11" s="96" t="str">
        <f>IF(FEEDCHECKER!E58="","-",FEEDCHECKER!E58)</f>
        <v>-</v>
      </c>
      <c r="M11" s="96"/>
      <c r="N11" s="96"/>
      <c r="O11" s="96"/>
      <c r="P11" s="96" t="str">
        <f>IF(FEEDCHECKER!H58="","-",FEEDCHECKER!H58)</f>
        <v>-</v>
      </c>
      <c r="Q11" s="96"/>
      <c r="R11" s="96"/>
      <c r="S11" s="96"/>
      <c r="T11" s="52"/>
      <c r="U11" s="933" t="str">
        <f>IF(FEEDCHECKER!K58="","-",FEEDCHECKER!K58)</f>
        <v>-</v>
      </c>
      <c r="V11" s="934" t="str">
        <f>IF($P$11="-","-",($G$22*$U11)/1000)</f>
        <v>-</v>
      </c>
      <c r="W11" s="933" t="str">
        <f>IF(FEEDCHECKER!O58="","-",FEEDCHECKER!O58)</f>
        <v>-</v>
      </c>
      <c r="X11" s="934" t="str">
        <f>IF($P$11="-","-",($G$22*$W11)/1000)</f>
        <v>-</v>
      </c>
      <c r="Y11" s="7"/>
      <c r="Z11" s="943"/>
      <c r="AA11" s="7"/>
      <c r="AB11" s="7"/>
      <c r="AC11" s="7"/>
      <c r="AD11" s="7"/>
      <c r="AE11" s="7"/>
      <c r="AF11" s="7"/>
      <c r="AG11" s="7"/>
      <c r="AH11" s="7"/>
      <c r="AI11" s="7"/>
      <c r="AJ11" s="7"/>
      <c r="AK11" s="7"/>
      <c r="AL11" s="7"/>
      <c r="AM11" s="7"/>
      <c r="AN11" s="7"/>
      <c r="AO11" s="7"/>
      <c r="AP11" s="7"/>
      <c r="AQ11" s="7"/>
      <c r="AR11" s="7"/>
      <c r="AS11" s="7"/>
      <c r="AT11" s="7"/>
      <c r="AU11" s="7"/>
    </row>
    <row r="12" spans="1:47" ht="20.100000000000001" customHeight="1">
      <c r="A12" s="7"/>
      <c r="B12" s="942"/>
      <c r="C12" s="927" t="s">
        <v>400</v>
      </c>
      <c r="D12" s="928"/>
      <c r="E12" s="928"/>
      <c r="F12" s="928"/>
      <c r="G12" s="929"/>
      <c r="H12" s="7"/>
      <c r="I12" s="7"/>
      <c r="J12" s="95" t="str">
        <f>IF(FEEDCHECKER!C61="","-",FEEDCHECKER!C61)</f>
        <v>-</v>
      </c>
      <c r="K12" s="95"/>
      <c r="L12" s="95" t="str">
        <f>IF(FEEDCHECKER!E61="","-",FEEDCHECKER!E61)</f>
        <v>-</v>
      </c>
      <c r="M12" s="95"/>
      <c r="N12" s="95"/>
      <c r="O12" s="95"/>
      <c r="P12" s="95" t="str">
        <f>IF(FEEDCHECKER!H61="","-",FEEDCHECKER!H61)</f>
        <v>-</v>
      </c>
      <c r="Q12" s="95"/>
      <c r="R12" s="95"/>
      <c r="S12" s="95"/>
      <c r="T12" s="52"/>
      <c r="U12" s="935" t="str">
        <f>IF(FEEDCHECKER!K61="","-",FEEDCHECKER!K61)</f>
        <v>-</v>
      </c>
      <c r="V12" s="936" t="str">
        <f>IF($P$12="-","-",($G$22*$U12)/1000)</f>
        <v>-</v>
      </c>
      <c r="W12" s="935" t="str">
        <f>IF(FEEDCHECKER!O61="","-",FEEDCHECKER!O61)</f>
        <v>-</v>
      </c>
      <c r="X12" s="936" t="str">
        <f>IF($P$12="-","-",($G$22*$W12)/1000)</f>
        <v>-</v>
      </c>
      <c r="Y12" s="7"/>
      <c r="Z12" s="943"/>
      <c r="AA12" s="7"/>
      <c r="AB12" s="7"/>
      <c r="AC12" s="7"/>
      <c r="AD12" s="7"/>
      <c r="AE12" s="7"/>
      <c r="AF12" s="7"/>
      <c r="AG12" s="7"/>
      <c r="AH12" s="7"/>
      <c r="AI12" s="7"/>
      <c r="AJ12" s="7"/>
      <c r="AK12" s="7"/>
      <c r="AL12" s="7"/>
      <c r="AM12" s="7"/>
      <c r="AN12" s="7"/>
      <c r="AO12" s="7"/>
      <c r="AP12" s="7"/>
      <c r="AQ12" s="7"/>
      <c r="AR12" s="7"/>
      <c r="AS12" s="7"/>
      <c r="AT12" s="7"/>
      <c r="AU12" s="7"/>
    </row>
    <row r="13" spans="1:47" ht="19.5" customHeight="1">
      <c r="A13" s="7"/>
      <c r="B13" s="942"/>
      <c r="C13" s="305" t="s">
        <v>106</v>
      </c>
      <c r="D13" s="7"/>
      <c r="E13" s="7"/>
      <c r="F13" s="7"/>
      <c r="G13" s="983"/>
      <c r="H13" s="7"/>
      <c r="I13" s="7"/>
      <c r="J13" s="96" t="str">
        <f>IF(FEEDCHECKER!C64="","-",FEEDCHECKER!C64)</f>
        <v>-</v>
      </c>
      <c r="K13" s="96"/>
      <c r="L13" s="96" t="str">
        <f>IF(FEEDCHECKER!E64="","-",FEEDCHECKER!E64)</f>
        <v>-</v>
      </c>
      <c r="M13" s="96"/>
      <c r="N13" s="96"/>
      <c r="O13" s="96"/>
      <c r="P13" s="96" t="str">
        <f>IF(FEEDCHECKER!H64="","-",FEEDCHECKER!H64)</f>
        <v>-</v>
      </c>
      <c r="Q13" s="96"/>
      <c r="R13" s="96"/>
      <c r="S13" s="96"/>
      <c r="T13" s="52"/>
      <c r="U13" s="933" t="str">
        <f>IF(FEEDCHECKER!K64="","-",FEEDCHECKER!K64)</f>
        <v>-</v>
      </c>
      <c r="V13" s="934" t="str">
        <f>IF($P$13="-","-",($G$22*$U13)/1000)</f>
        <v>-</v>
      </c>
      <c r="W13" s="933" t="str">
        <f>IF(FEEDCHECKER!O64="","-",FEEDCHECKER!O64)</f>
        <v>-</v>
      </c>
      <c r="X13" s="934" t="str">
        <f>IF($P$13="-","-",($G$22*$W13)/1000)</f>
        <v>-</v>
      </c>
      <c r="Y13" s="7"/>
      <c r="Z13" s="943"/>
      <c r="AA13" s="7"/>
      <c r="AB13" s="7"/>
      <c r="AC13" s="7"/>
      <c r="AD13" s="7"/>
      <c r="AE13" s="7"/>
      <c r="AF13" s="7"/>
      <c r="AG13" s="7"/>
      <c r="AH13" s="7"/>
      <c r="AI13" s="7"/>
      <c r="AJ13" s="7"/>
      <c r="AK13" s="7"/>
      <c r="AL13" s="7"/>
      <c r="AM13" s="7"/>
      <c r="AN13" s="7"/>
      <c r="AO13" s="7"/>
      <c r="AP13" s="7"/>
      <c r="AQ13" s="7"/>
      <c r="AR13" s="7"/>
      <c r="AS13" s="7"/>
      <c r="AT13" s="7"/>
      <c r="AU13" s="7"/>
    </row>
    <row r="14" spans="1:47" ht="20.100000000000001" customHeight="1">
      <c r="A14" s="7"/>
      <c r="B14" s="942"/>
      <c r="C14" s="305" t="s">
        <v>241</v>
      </c>
      <c r="D14" s="7"/>
      <c r="E14" s="7"/>
      <c r="F14" s="7"/>
      <c r="G14" s="69"/>
      <c r="H14" s="7"/>
      <c r="I14" s="7"/>
      <c r="J14" s="95" t="str">
        <f>IF(FEEDCHECKER!C67="","-",FEEDCHECKER!C67)</f>
        <v>-</v>
      </c>
      <c r="K14" s="95"/>
      <c r="L14" s="95" t="str">
        <f>IF(FEEDCHECKER!E67="","-",FEEDCHECKER!E67)</f>
        <v>-</v>
      </c>
      <c r="M14" s="95"/>
      <c r="N14" s="95"/>
      <c r="O14" s="95"/>
      <c r="P14" s="95" t="str">
        <f>IF(FEEDCHECKER!H67="","-",FEEDCHECKER!H67)</f>
        <v>-</v>
      </c>
      <c r="Q14" s="95"/>
      <c r="R14" s="95"/>
      <c r="S14" s="95"/>
      <c r="T14" s="52"/>
      <c r="U14" s="935" t="str">
        <f>IF(FEEDCHECKER!K67="","-",FEEDCHECKER!K67)</f>
        <v>-</v>
      </c>
      <c r="V14" s="936" t="str">
        <f>IF($P$14="-","-",($G$22*$U14)/1000)</f>
        <v>-</v>
      </c>
      <c r="W14" s="935" t="str">
        <f>IF(FEEDCHECKER!O67="","-",FEEDCHECKER!O67)</f>
        <v>-</v>
      </c>
      <c r="X14" s="936" t="str">
        <f>IF($P$14="-","-",($G$22*$W14)/1000)</f>
        <v>-</v>
      </c>
      <c r="Y14" s="7"/>
      <c r="Z14" s="943"/>
      <c r="AA14" s="7"/>
      <c r="AB14" s="7"/>
      <c r="AC14" s="7"/>
      <c r="AD14" s="7"/>
      <c r="AE14" s="7"/>
      <c r="AF14" s="7"/>
      <c r="AG14" s="7"/>
      <c r="AH14" s="7"/>
      <c r="AI14" s="7"/>
      <c r="AJ14" s="7"/>
      <c r="AK14" s="7"/>
      <c r="AL14" s="7"/>
      <c r="AM14" s="7"/>
      <c r="AN14" s="7"/>
      <c r="AO14" s="7"/>
      <c r="AP14" s="7"/>
      <c r="AQ14" s="7"/>
      <c r="AR14" s="7"/>
      <c r="AS14" s="7"/>
      <c r="AT14" s="7"/>
      <c r="AU14" s="7"/>
    </row>
    <row r="15" spans="1:47" ht="20.100000000000001" customHeight="1">
      <c r="A15" s="7"/>
      <c r="B15" s="942"/>
      <c r="C15" s="7" t="s">
        <v>402</v>
      </c>
      <c r="D15" s="7"/>
      <c r="E15" s="7"/>
      <c r="F15" s="53"/>
      <c r="G15" s="32"/>
      <c r="H15" s="7"/>
      <c r="I15" s="7"/>
      <c r="J15" s="737"/>
      <c r="K15" s="737"/>
      <c r="L15" s="737"/>
      <c r="M15" s="737"/>
      <c r="N15" s="737"/>
      <c r="O15" s="737"/>
      <c r="P15" s="737"/>
      <c r="Q15" s="737"/>
      <c r="R15" s="737"/>
      <c r="S15" s="737"/>
      <c r="T15" s="52"/>
      <c r="U15" s="948"/>
      <c r="V15" s="949"/>
      <c r="W15" s="948"/>
      <c r="X15" s="943"/>
      <c r="Y15" s="7"/>
      <c r="Z15" s="943"/>
      <c r="AA15" s="7"/>
      <c r="AB15" s="7"/>
      <c r="AC15" s="7"/>
      <c r="AD15" s="7"/>
      <c r="AE15" s="7"/>
      <c r="AF15" s="7"/>
      <c r="AG15" s="7"/>
      <c r="AH15" s="7"/>
      <c r="AI15" s="7"/>
      <c r="AJ15" s="7"/>
      <c r="AK15" s="7"/>
      <c r="AL15" s="7"/>
      <c r="AM15" s="7"/>
      <c r="AN15" s="7"/>
      <c r="AO15" s="7"/>
      <c r="AP15" s="7"/>
      <c r="AQ15" s="7"/>
      <c r="AR15" s="7"/>
      <c r="AS15" s="7"/>
      <c r="AT15" s="7"/>
      <c r="AU15" s="7"/>
    </row>
    <row r="16" spans="1:47" ht="20.100000000000001" customHeight="1">
      <c r="A16" s="7"/>
      <c r="B16" s="942"/>
      <c r="C16" s="7" t="s">
        <v>403</v>
      </c>
      <c r="D16" s="7"/>
      <c r="E16" s="7"/>
      <c r="F16" s="7"/>
      <c r="G16" s="7"/>
      <c r="H16" s="7"/>
      <c r="I16" s="7"/>
      <c r="J16" s="7"/>
      <c r="K16" s="7"/>
      <c r="L16" s="7"/>
      <c r="M16" s="7"/>
      <c r="N16" s="7"/>
      <c r="O16" s="96"/>
      <c r="P16" s="32"/>
      <c r="Q16" s="69"/>
      <c r="R16" s="989" t="s">
        <v>183</v>
      </c>
      <c r="S16" s="928"/>
      <c r="T16" s="928"/>
      <c r="U16" s="950">
        <f>IF(FEEDCHECKER!K71="","-",FEEDCHECKER!K71)</f>
        <v>0</v>
      </c>
      <c r="V16" s="951" t="e">
        <f>IF($U16="-","-",($G$22*$U16)/1000)</f>
        <v>#VALUE!</v>
      </c>
      <c r="W16" s="954" t="str">
        <f>IF(FEEDCHECKER!O71="","-",FEEDCHECKER!O71)</f>
        <v>-</v>
      </c>
      <c r="X16" s="955" t="str">
        <f>IF($W16="-","-",($G$22*$W16)/1000)</f>
        <v>-</v>
      </c>
      <c r="Y16" s="7"/>
      <c r="Z16" s="943"/>
      <c r="AA16" s="7"/>
      <c r="AB16" s="7"/>
      <c r="AC16" s="7"/>
      <c r="AD16" s="7"/>
      <c r="AE16" s="7"/>
      <c r="AF16" s="7"/>
      <c r="AG16" s="7"/>
      <c r="AH16" s="7"/>
      <c r="AI16" s="7"/>
      <c r="AJ16" s="7"/>
      <c r="AK16" s="7"/>
      <c r="AL16" s="7"/>
      <c r="AM16" s="7"/>
      <c r="AN16" s="7"/>
      <c r="AO16" s="7"/>
      <c r="AP16" s="7"/>
      <c r="AQ16" s="7"/>
      <c r="AR16" s="7"/>
      <c r="AS16" s="7"/>
      <c r="AT16" s="7"/>
      <c r="AU16" s="7"/>
    </row>
    <row r="17" spans="1:47" ht="20.100000000000001" customHeight="1">
      <c r="A17" s="7"/>
      <c r="B17" s="942"/>
      <c r="C17" s="973" t="str">
        <f>FEEDCHECKER!C7</f>
        <v>Stage of lactation</v>
      </c>
      <c r="D17" s="7"/>
      <c r="E17" s="7"/>
      <c r="F17" s="7"/>
      <c r="G17" s="7"/>
      <c r="H17" s="7"/>
      <c r="I17" s="7"/>
      <c r="J17" s="7"/>
      <c r="K17" s="7"/>
      <c r="L17" s="7"/>
      <c r="M17" s="7"/>
      <c r="N17" s="7"/>
      <c r="O17" s="96"/>
      <c r="P17" s="32"/>
      <c r="Q17" s="69"/>
      <c r="R17" s="989" t="s">
        <v>2</v>
      </c>
      <c r="S17" s="928"/>
      <c r="T17" s="928"/>
      <c r="U17" s="952" t="str">
        <f>IF(FEEDCHECKER!AX72="","-",FEEDCHECKER!AX72)</f>
        <v>-</v>
      </c>
      <c r="V17" s="953" t="str">
        <f>IF($U17="-","-",($G$22*$U17)/1000)</f>
        <v>-</v>
      </c>
      <c r="W17" s="956" t="str">
        <f>IF(FEEDCHECKER!AX73="","-",FEEDCHECKER!AX73)</f>
        <v>-</v>
      </c>
      <c r="X17" s="957" t="str">
        <f>IF($W17="-","-",($G$22*$W17)/1000)</f>
        <v>-</v>
      </c>
      <c r="Y17" s="7"/>
      <c r="Z17" s="943"/>
      <c r="AA17" s="7"/>
      <c r="AB17" s="7"/>
      <c r="AC17" s="7"/>
      <c r="AD17" s="7"/>
      <c r="AE17" s="7"/>
      <c r="AF17" s="7"/>
      <c r="AG17" s="7"/>
      <c r="AH17" s="7"/>
      <c r="AI17" s="7"/>
      <c r="AJ17" s="7"/>
      <c r="AK17" s="7"/>
      <c r="AL17" s="7"/>
      <c r="AM17" s="7"/>
      <c r="AN17" s="7"/>
      <c r="AO17" s="7"/>
      <c r="AP17" s="7"/>
      <c r="AQ17" s="7"/>
      <c r="AR17" s="7"/>
      <c r="AS17" s="7"/>
      <c r="AT17" s="7"/>
      <c r="AU17" s="7"/>
    </row>
    <row r="18" spans="1:47" ht="20.100000000000001" customHeight="1">
      <c r="A18" s="7"/>
      <c r="B18" s="942"/>
      <c r="C18" s="7" t="s">
        <v>404</v>
      </c>
      <c r="D18" s="7"/>
      <c r="E18" s="53"/>
      <c r="F18" s="7"/>
      <c r="G18" s="7"/>
      <c r="H18" s="7"/>
      <c r="I18" s="737"/>
      <c r="J18" s="7"/>
      <c r="K18" s="7"/>
      <c r="L18" s="7"/>
      <c r="M18" s="7"/>
      <c r="N18" s="7"/>
      <c r="O18" s="7"/>
      <c r="P18" s="26"/>
      <c r="Q18" s="7"/>
      <c r="R18" s="7"/>
      <c r="S18" s="26"/>
      <c r="T18" s="7"/>
      <c r="U18" s="7"/>
      <c r="V18" s="7"/>
      <c r="W18" s="7"/>
      <c r="X18" s="7"/>
      <c r="Y18" s="53"/>
      <c r="Z18" s="943"/>
      <c r="AA18" s="7"/>
      <c r="AB18" s="7"/>
      <c r="AC18" s="7"/>
      <c r="AD18" s="7"/>
      <c r="AE18" s="7"/>
      <c r="AF18" s="7"/>
      <c r="AG18" s="7"/>
      <c r="AH18" s="7"/>
      <c r="AI18" s="7"/>
      <c r="AJ18" s="7"/>
      <c r="AK18" s="7"/>
      <c r="AL18" s="7"/>
      <c r="AM18" s="7"/>
      <c r="AN18" s="7"/>
      <c r="AO18" s="7"/>
      <c r="AP18" s="7"/>
      <c r="AQ18" s="7"/>
      <c r="AR18" s="7"/>
      <c r="AS18" s="7"/>
      <c r="AT18" s="7"/>
      <c r="AU18" s="7"/>
    </row>
    <row r="19" spans="1:47" ht="20.100000000000001" customHeight="1">
      <c r="A19" s="7"/>
      <c r="B19" s="942"/>
      <c r="C19" s="7" t="str">
        <f>FEEDCHECKER!C10</f>
        <v>Date of next calving (PSC)</v>
      </c>
      <c r="D19" s="53"/>
      <c r="E19" s="7"/>
      <c r="F19" s="7"/>
      <c r="G19" s="7"/>
      <c r="H19" s="7"/>
      <c r="I19" s="737"/>
      <c r="J19" s="7"/>
      <c r="K19" s="7"/>
      <c r="L19" s="7"/>
      <c r="M19" s="7"/>
      <c r="N19" s="7"/>
      <c r="O19" s="7"/>
      <c r="P19" s="26"/>
      <c r="Q19" s="7"/>
      <c r="R19" s="7"/>
      <c r="S19" s="26"/>
      <c r="T19" s="7"/>
      <c r="U19" s="7"/>
      <c r="V19" s="7"/>
      <c r="W19" s="7"/>
      <c r="X19" s="7"/>
      <c r="Y19" s="53"/>
      <c r="Z19" s="943"/>
      <c r="AA19" s="7"/>
      <c r="AB19" s="7"/>
      <c r="AC19" s="7"/>
      <c r="AD19" s="7"/>
      <c r="AE19" s="7"/>
      <c r="AF19" s="7"/>
      <c r="AG19" s="7"/>
      <c r="AH19" s="7"/>
      <c r="AI19" s="7"/>
      <c r="AJ19" s="7"/>
      <c r="AK19" s="7"/>
      <c r="AL19" s="7"/>
      <c r="AM19" s="7"/>
      <c r="AN19" s="7"/>
      <c r="AO19" s="7"/>
      <c r="AP19" s="7"/>
      <c r="AQ19" s="7"/>
      <c r="AR19" s="7"/>
      <c r="AS19" s="7"/>
      <c r="AT19" s="7"/>
      <c r="AU19" s="7"/>
    </row>
    <row r="20" spans="1:47" ht="20.100000000000001" customHeight="1">
      <c r="A20" s="7"/>
      <c r="B20" s="942"/>
      <c r="C20" s="7"/>
      <c r="D20" s="7"/>
      <c r="E20" s="7"/>
      <c r="F20" s="7"/>
      <c r="G20" s="7"/>
      <c r="H20" s="7"/>
      <c r="I20" s="53"/>
      <c r="J20" s="7"/>
      <c r="K20" s="7"/>
      <c r="L20" s="7"/>
      <c r="M20" s="7"/>
      <c r="N20" s="7"/>
      <c r="O20" s="7"/>
      <c r="P20" s="26"/>
      <c r="Q20" s="7"/>
      <c r="R20" s="7"/>
      <c r="S20" s="26"/>
      <c r="T20" s="7"/>
      <c r="U20" s="7"/>
      <c r="V20" s="7"/>
      <c r="W20" s="7"/>
      <c r="X20" s="7"/>
      <c r="Y20" s="53"/>
      <c r="Z20" s="943"/>
      <c r="AA20" s="7"/>
      <c r="AB20" s="7"/>
      <c r="AC20" s="7"/>
      <c r="AD20" s="7"/>
      <c r="AE20" s="7"/>
      <c r="AF20" s="7"/>
      <c r="AG20" s="7"/>
      <c r="AH20" s="7"/>
      <c r="AI20" s="7"/>
      <c r="AJ20" s="7"/>
      <c r="AK20" s="7"/>
      <c r="AL20" s="7"/>
      <c r="AM20" s="7"/>
      <c r="AN20" s="7"/>
      <c r="AO20" s="7"/>
      <c r="AP20" s="7"/>
      <c r="AQ20" s="7"/>
      <c r="AR20" s="7"/>
      <c r="AS20" s="7"/>
      <c r="AT20" s="7"/>
      <c r="AU20" s="7"/>
    </row>
    <row r="21" spans="1:47" ht="20.100000000000001" customHeight="1">
      <c r="A21" s="7"/>
      <c r="B21" s="942"/>
      <c r="C21" s="927" t="s">
        <v>398</v>
      </c>
      <c r="D21" s="928"/>
      <c r="E21" s="928"/>
      <c r="F21" s="928"/>
      <c r="G21" s="929"/>
      <c r="H21" s="32"/>
      <c r="I21" s="927" t="s">
        <v>108</v>
      </c>
      <c r="J21" s="928"/>
      <c r="K21" s="928"/>
      <c r="L21" s="928"/>
      <c r="M21" s="930" t="s">
        <v>310</v>
      </c>
      <c r="O21" s="96"/>
      <c r="P21" s="927" t="s">
        <v>406</v>
      </c>
      <c r="Q21" s="927"/>
      <c r="R21" s="927"/>
      <c r="S21" s="927"/>
      <c r="T21" s="927"/>
      <c r="U21" s="927"/>
      <c r="V21" s="927"/>
      <c r="W21" s="927"/>
      <c r="X21" s="927"/>
      <c r="Y21" s="53"/>
      <c r="Z21" s="943"/>
      <c r="AA21" s="7"/>
      <c r="AB21" s="7"/>
      <c r="AC21" s="7"/>
      <c r="AD21" s="7"/>
      <c r="AE21" s="7"/>
      <c r="AF21" s="7"/>
      <c r="AG21" s="7"/>
      <c r="AH21" s="7"/>
      <c r="AI21" s="7"/>
      <c r="AJ21" s="7"/>
      <c r="AK21" s="7"/>
      <c r="AL21" s="7"/>
      <c r="AM21" s="7"/>
      <c r="AN21" s="7"/>
      <c r="AO21" s="7"/>
      <c r="AP21" s="7"/>
      <c r="AQ21" s="7"/>
      <c r="AR21" s="7"/>
      <c r="AS21" s="7"/>
      <c r="AT21" s="7"/>
      <c r="AU21" s="7"/>
    </row>
    <row r="22" spans="1:47" ht="20.100000000000001" customHeight="1">
      <c r="A22" s="7"/>
      <c r="B22" s="942"/>
      <c r="C22" s="53" t="str">
        <f>FEEDCHECKER!J6</f>
        <v>Cows in mob</v>
      </c>
      <c r="D22" s="53"/>
      <c r="E22" s="53"/>
      <c r="F22" s="53"/>
      <c r="G22" s="32" t="str">
        <f>IF(FEEDCHECKER!O6="","-",FEEDCHECKER!O6)</f>
        <v>-</v>
      </c>
      <c r="H22" s="7"/>
      <c r="I22" s="53" t="s">
        <v>386</v>
      </c>
      <c r="J22" s="53"/>
      <c r="K22" s="53"/>
      <c r="L22" s="53"/>
      <c r="M22" s="69" t="str">
        <f>IF(FEEDCHECKER!AY40="","-",FEEDCHECKER!AY40)</f>
        <v>-</v>
      </c>
      <c r="N22" s="7"/>
      <c r="O22" s="96"/>
      <c r="P22" s="984" t="s">
        <v>273</v>
      </c>
      <c r="Q22" s="984"/>
      <c r="R22" s="984"/>
      <c r="S22" s="985"/>
      <c r="T22" s="990"/>
      <c r="U22" s="7"/>
      <c r="V22" s="988" t="s">
        <v>138</v>
      </c>
      <c r="W22" s="69"/>
      <c r="X22" s="991"/>
      <c r="Y22" s="53"/>
      <c r="Z22" s="943"/>
      <c r="AA22" s="7"/>
      <c r="AB22" s="7"/>
      <c r="AC22" s="7"/>
      <c r="AD22" s="7"/>
      <c r="AE22" s="7"/>
      <c r="AF22" s="7"/>
      <c r="AG22" s="7"/>
      <c r="AH22" s="7"/>
      <c r="AI22" s="7"/>
      <c r="AJ22" s="7"/>
      <c r="AK22" s="7"/>
      <c r="AL22" s="7"/>
      <c r="AM22" s="7"/>
      <c r="AN22" s="7"/>
      <c r="AO22" s="7"/>
      <c r="AP22" s="7"/>
      <c r="AQ22" s="7"/>
      <c r="AR22" s="7"/>
      <c r="AS22" s="7"/>
      <c r="AT22" s="7"/>
      <c r="AU22" s="7"/>
    </row>
    <row r="23" spans="1:47" ht="20.100000000000001" customHeight="1">
      <c r="A23" s="7"/>
      <c r="B23" s="942"/>
      <c r="C23" s="53" t="str">
        <f>FEEDCHECKER!J7</f>
        <v>Milk solids (kg MS/cow/day)</v>
      </c>
      <c r="D23" s="53"/>
      <c r="E23" s="53"/>
      <c r="F23" s="53"/>
      <c r="G23" s="32" t="str">
        <f>IF(FEEDCHECKER!O7="","-",FEEDCHECKER!O7)</f>
        <v>-</v>
      </c>
      <c r="H23" s="7"/>
      <c r="I23" s="53" t="str">
        <f>IF('ASSESS &amp; COMPARE'!C15="","-",'ASSESS &amp; COMPARE'!C15)</f>
        <v xml:space="preserve">Pre-grazing cover </v>
      </c>
      <c r="J23" s="53"/>
      <c r="K23" s="53"/>
      <c r="L23" s="53"/>
      <c r="M23" s="739" t="str">
        <f>IF(FEEDCHECKER!O14="","-",FEEDCHECKER!O14)</f>
        <v>-</v>
      </c>
      <c r="N23" s="53"/>
      <c r="O23" s="96"/>
      <c r="P23" s="986" t="s">
        <v>275</v>
      </c>
      <c r="Q23" s="987"/>
      <c r="R23" s="69"/>
      <c r="S23" s="69"/>
      <c r="T23" s="990"/>
      <c r="U23" s="7"/>
      <c r="V23" s="988" t="s">
        <v>107</v>
      </c>
      <c r="W23" s="69"/>
      <c r="X23" s="991"/>
      <c r="Y23" s="53"/>
      <c r="Z23" s="943"/>
      <c r="AA23" s="7"/>
      <c r="AB23" s="7"/>
      <c r="AC23" s="7"/>
      <c r="AD23" s="7"/>
      <c r="AE23" s="7"/>
      <c r="AF23" s="7"/>
      <c r="AG23" s="7"/>
      <c r="AH23" s="7"/>
      <c r="AI23" s="7"/>
      <c r="AJ23" s="7"/>
      <c r="AK23" s="7"/>
      <c r="AL23" s="7"/>
      <c r="AM23" s="7"/>
      <c r="AN23" s="7"/>
      <c r="AO23" s="7"/>
      <c r="AP23" s="7"/>
      <c r="AQ23" s="7"/>
      <c r="AR23" s="7"/>
      <c r="AS23" s="7"/>
      <c r="AT23" s="7"/>
      <c r="AU23" s="7"/>
    </row>
    <row r="24" spans="1:47" ht="20.100000000000001" customHeight="1">
      <c r="A24" s="7"/>
      <c r="B24" s="942"/>
      <c r="C24" s="977" t="s">
        <v>392</v>
      </c>
      <c r="D24" s="53"/>
      <c r="E24" s="53"/>
      <c r="F24" s="53"/>
      <c r="G24" s="32" t="str">
        <f>IF(FEEDCHECKER!H9="","-",FEEDCHECKER!H9)</f>
        <v>-</v>
      </c>
      <c r="H24" s="7"/>
      <c r="I24" s="53" t="str">
        <f>IF('ASSESS &amp; COMPARE'!C16="","-",'ASSESS &amp; COMPARE'!C16)</f>
        <v xml:space="preserve">Post-grazing residual </v>
      </c>
      <c r="J24" s="53"/>
      <c r="K24" s="53"/>
      <c r="L24" s="53"/>
      <c r="M24" s="739" t="str">
        <f>IF(FEEDCHECKER!O15="","-",FEEDCHECKER!O15)</f>
        <v>-</v>
      </c>
      <c r="N24" s="7"/>
      <c r="O24" s="96"/>
      <c r="P24" s="986" t="s">
        <v>272</v>
      </c>
      <c r="Q24" s="987"/>
      <c r="R24" s="69"/>
      <c r="S24" s="69"/>
      <c r="T24" s="990"/>
      <c r="U24" s="69"/>
      <c r="V24" s="987"/>
      <c r="W24" s="69"/>
      <c r="X24" s="69"/>
      <c r="Y24" s="53"/>
      <c r="Z24" s="943"/>
      <c r="AA24" s="7"/>
      <c r="AB24" s="7"/>
      <c r="AC24" s="7"/>
      <c r="AD24" s="7"/>
      <c r="AE24" s="7"/>
      <c r="AF24" s="7"/>
      <c r="AG24" s="7"/>
      <c r="AH24" s="7"/>
      <c r="AI24" s="7"/>
      <c r="AJ24" s="7"/>
      <c r="AK24" s="7"/>
      <c r="AL24" s="7"/>
      <c r="AM24" s="7"/>
      <c r="AN24" s="7"/>
      <c r="AO24" s="7"/>
      <c r="AP24" s="7"/>
      <c r="AQ24" s="7"/>
      <c r="AR24" s="7"/>
      <c r="AS24" s="7"/>
      <c r="AT24" s="7"/>
      <c r="AU24" s="7"/>
    </row>
    <row r="25" spans="1:47" ht="19.5" customHeight="1">
      <c r="A25" s="7"/>
      <c r="B25" s="942"/>
      <c r="C25" s="305" t="s">
        <v>255</v>
      </c>
      <c r="D25" s="7"/>
      <c r="E25" s="7"/>
      <c r="F25" s="7"/>
      <c r="G25" s="7"/>
      <c r="H25" s="7"/>
      <c r="I25" s="53" t="str">
        <f>IF('ASSESS &amp; COMPARE'!C17="","-",'ASSESS &amp; COMPARE'!C17)</f>
        <v>Hectares grazed/day  -this mob</v>
      </c>
      <c r="J25" s="53"/>
      <c r="K25" s="53"/>
      <c r="L25" s="53"/>
      <c r="M25" s="69" t="str">
        <f>IF(FEEDCHECKER!O16="","-",FEEDCHECKER!O16)</f>
        <v>-</v>
      </c>
      <c r="N25" s="7"/>
      <c r="O25" s="96"/>
      <c r="P25" s="986" t="s">
        <v>274</v>
      </c>
      <c r="Q25" s="987"/>
      <c r="R25" s="69"/>
      <c r="S25" s="69"/>
      <c r="T25" s="990"/>
      <c r="U25" s="69"/>
      <c r="V25" s="69"/>
      <c r="W25" s="69"/>
      <c r="X25" s="69"/>
      <c r="Y25" s="53"/>
      <c r="Z25" s="943"/>
      <c r="AA25" s="7"/>
      <c r="AB25" s="7"/>
      <c r="AC25" s="7"/>
      <c r="AD25" s="7"/>
      <c r="AE25" s="7"/>
      <c r="AF25" s="7"/>
      <c r="AG25" s="7"/>
      <c r="AH25" s="7"/>
      <c r="AI25" s="7"/>
      <c r="AJ25" s="7"/>
      <c r="AK25" s="7"/>
      <c r="AL25" s="7"/>
      <c r="AM25" s="7"/>
      <c r="AN25" s="7"/>
      <c r="AO25" s="7"/>
      <c r="AP25" s="7"/>
      <c r="AQ25" s="7"/>
      <c r="AR25" s="7"/>
      <c r="AS25" s="7"/>
      <c r="AT25" s="7"/>
      <c r="AU25" s="7"/>
    </row>
    <row r="26" spans="1:47" ht="22.5" customHeight="1">
      <c r="A26" s="7"/>
      <c r="B26" s="53"/>
      <c r="C26" s="305" t="s">
        <v>241</v>
      </c>
      <c r="D26" s="53"/>
      <c r="E26" s="53"/>
      <c r="F26" s="53"/>
      <c r="G26" s="53"/>
      <c r="H26" s="53"/>
      <c r="I26" s="53"/>
      <c r="J26" s="53"/>
      <c r="K26" s="53"/>
      <c r="L26" s="53"/>
      <c r="M26" s="53"/>
      <c r="N26" s="53"/>
      <c r="O26" s="53"/>
      <c r="P26" s="96"/>
      <c r="Q26" s="53"/>
      <c r="R26" s="53"/>
      <c r="S26" s="96"/>
      <c r="T26" s="53"/>
      <c r="U26" s="53"/>
      <c r="V26" s="53"/>
      <c r="W26" s="53"/>
      <c r="X26" s="53"/>
      <c r="Y26" s="53"/>
      <c r="Z26" s="53"/>
      <c r="AA26" s="7"/>
      <c r="AB26" s="7"/>
      <c r="AC26" s="7"/>
      <c r="AD26" s="7"/>
      <c r="AE26" s="7"/>
      <c r="AF26" s="7"/>
      <c r="AG26" s="7"/>
      <c r="AH26" s="7"/>
      <c r="AI26" s="7"/>
      <c r="AJ26" s="7"/>
      <c r="AK26" s="7"/>
      <c r="AL26" s="7"/>
      <c r="AM26" s="7"/>
      <c r="AN26" s="7"/>
      <c r="AO26" s="7"/>
      <c r="AP26" s="7"/>
      <c r="AQ26" s="7"/>
      <c r="AR26" s="7"/>
      <c r="AS26" s="7"/>
      <c r="AT26" s="7"/>
      <c r="AU26" s="7"/>
    </row>
    <row r="27" spans="1:47" ht="33.75" customHeight="1">
      <c r="A27" s="7"/>
      <c r="B27" s="45" t="s">
        <v>174</v>
      </c>
      <c r="C27" s="45"/>
      <c r="D27" s="4"/>
      <c r="E27" s="32"/>
      <c r="F27" s="32"/>
      <c r="G27" s="53"/>
      <c r="H27" s="53"/>
      <c r="I27" s="53"/>
      <c r="J27" s="53"/>
      <c r="K27" s="53"/>
      <c r="L27" s="53"/>
      <c r="M27" s="53"/>
      <c r="N27" s="53"/>
      <c r="O27" s="53"/>
      <c r="Q27" s="4"/>
      <c r="R27" s="32"/>
      <c r="S27" s="53"/>
      <c r="U27" s="53"/>
      <c r="V27" s="110"/>
      <c r="W27" s="45"/>
      <c r="X27" s="111"/>
      <c r="Y27" s="111"/>
      <c r="Z27" s="110"/>
      <c r="AA27" s="7"/>
      <c r="AB27" s="7"/>
      <c r="AC27" s="7"/>
      <c r="AD27" s="7"/>
      <c r="AE27" s="7"/>
      <c r="AF27" s="7"/>
      <c r="AG27" s="7"/>
      <c r="AH27" s="7"/>
      <c r="AI27" s="7"/>
      <c r="AJ27" s="7"/>
      <c r="AK27" s="7"/>
      <c r="AL27" s="7"/>
      <c r="AM27" s="7"/>
      <c r="AN27" s="7"/>
      <c r="AO27" s="7"/>
      <c r="AP27" s="7"/>
      <c r="AQ27" s="7"/>
      <c r="AR27" s="7"/>
      <c r="AS27" s="7"/>
      <c r="AT27" s="7"/>
      <c r="AU27" s="7"/>
    </row>
    <row r="28" spans="1:47" ht="15.6">
      <c r="A28" s="7"/>
      <c r="B28" s="938"/>
      <c r="C28" s="939"/>
      <c r="D28" s="939"/>
      <c r="E28" s="939"/>
      <c r="F28" s="939"/>
      <c r="G28" s="939"/>
      <c r="H28" s="939"/>
      <c r="I28" s="939"/>
      <c r="J28" s="939"/>
      <c r="K28" s="939"/>
      <c r="L28" s="939"/>
      <c r="M28" s="939"/>
      <c r="N28" s="939"/>
      <c r="O28" s="939"/>
      <c r="P28" s="940"/>
      <c r="Q28" s="939"/>
      <c r="R28" s="939"/>
      <c r="S28" s="939"/>
      <c r="T28" s="939"/>
      <c r="U28" s="939"/>
      <c r="V28" s="939"/>
      <c r="W28" s="939"/>
      <c r="X28" s="939"/>
      <c r="Y28" s="939"/>
      <c r="Z28" s="941"/>
      <c r="AA28" s="65"/>
      <c r="AB28" s="7"/>
      <c r="AC28" s="56"/>
      <c r="AD28" s="7"/>
      <c r="AE28" s="7"/>
      <c r="AF28" s="7"/>
      <c r="AG28" s="7"/>
      <c r="AH28" s="7"/>
      <c r="AI28" s="7"/>
      <c r="AJ28" s="7"/>
      <c r="AK28" s="7"/>
      <c r="AL28" s="7"/>
      <c r="AM28" s="7"/>
      <c r="AN28" s="7"/>
      <c r="AO28" s="7"/>
      <c r="AP28" s="7"/>
      <c r="AQ28" s="7"/>
      <c r="AR28" s="7"/>
      <c r="AS28" s="7"/>
      <c r="AT28" s="7"/>
      <c r="AU28" s="7"/>
    </row>
    <row r="29" spans="1:47" ht="20.100000000000001" customHeight="1">
      <c r="A29" s="7"/>
      <c r="B29" s="942"/>
      <c r="C29" s="200"/>
      <c r="D29" s="199"/>
      <c r="E29" s="273" t="s">
        <v>120</v>
      </c>
      <c r="F29" s="273" t="s">
        <v>1</v>
      </c>
      <c r="G29" s="285"/>
      <c r="H29" s="273" t="s">
        <v>393</v>
      </c>
      <c r="I29" s="273" t="s">
        <v>12</v>
      </c>
      <c r="J29" s="273" t="s">
        <v>13</v>
      </c>
      <c r="K29" s="273" t="s">
        <v>143</v>
      </c>
      <c r="L29" s="273" t="s">
        <v>144</v>
      </c>
      <c r="M29" s="199"/>
      <c r="N29" s="273" t="s">
        <v>256</v>
      </c>
      <c r="O29" s="273" t="s">
        <v>258</v>
      </c>
      <c r="P29" s="273" t="s">
        <v>259</v>
      </c>
      <c r="Q29" s="273" t="s">
        <v>260</v>
      </c>
      <c r="R29" s="273" t="s">
        <v>261</v>
      </c>
      <c r="S29" s="273" t="s">
        <v>262</v>
      </c>
      <c r="T29" s="273" t="s">
        <v>263</v>
      </c>
      <c r="U29" s="285"/>
      <c r="V29" s="273" t="s">
        <v>264</v>
      </c>
      <c r="W29" s="1906" t="s">
        <v>364</v>
      </c>
      <c r="X29" s="1906"/>
      <c r="Y29" s="273"/>
      <c r="Z29" s="943"/>
      <c r="AA29" s="65"/>
      <c r="AB29" s="7"/>
      <c r="AC29" s="56"/>
      <c r="AD29" s="7"/>
      <c r="AE29" s="7"/>
      <c r="AF29" s="7"/>
      <c r="AG29" s="7"/>
      <c r="AH29" s="7"/>
      <c r="AI29" s="7"/>
      <c r="AJ29" s="7"/>
      <c r="AK29" s="7"/>
      <c r="AL29" s="7"/>
      <c r="AM29" s="7"/>
      <c r="AN29" s="7"/>
      <c r="AO29" s="7"/>
      <c r="AP29" s="7"/>
      <c r="AQ29" s="7"/>
      <c r="AR29" s="7"/>
      <c r="AS29" s="7"/>
      <c r="AT29" s="7"/>
      <c r="AU29" s="7"/>
    </row>
    <row r="30" spans="1:47" ht="20.100000000000001" customHeight="1">
      <c r="A30" s="7"/>
      <c r="B30" s="942"/>
      <c r="C30" s="201" t="s">
        <v>164</v>
      </c>
      <c r="D30" s="199"/>
      <c r="E30" s="958" t="e">
        <f>IF(FEEDCHECKER!#REF!="","-",FEEDCHECKER!#REF!)</f>
        <v>#REF!</v>
      </c>
      <c r="F30" s="959" t="e">
        <f>IF(FEEDCHECKER!#REF!="","-",FEEDCHECKER!#REF!)</f>
        <v>#REF!</v>
      </c>
      <c r="G30" s="285"/>
      <c r="H30" s="958" t="e">
        <f>IF(FEEDCHECKER!#REF!="","-",FEEDCHECKER!#REF!)</f>
        <v>#REF!</v>
      </c>
      <c r="I30" s="960" t="s">
        <v>157</v>
      </c>
      <c r="J30" s="960" t="s">
        <v>173</v>
      </c>
      <c r="K30" s="961" t="s">
        <v>172</v>
      </c>
      <c r="L30" s="961" t="s">
        <v>165</v>
      </c>
      <c r="M30" s="199"/>
      <c r="N30" s="958" t="s">
        <v>292</v>
      </c>
      <c r="O30" s="958" t="s">
        <v>293</v>
      </c>
      <c r="P30" s="958" t="s">
        <v>295</v>
      </c>
      <c r="Q30" s="958" t="s">
        <v>294</v>
      </c>
      <c r="R30" s="958" t="s">
        <v>351</v>
      </c>
      <c r="S30" s="958" t="s">
        <v>394</v>
      </c>
      <c r="T30" s="962" t="s">
        <v>369</v>
      </c>
      <c r="U30" s="285"/>
      <c r="V30" s="962" t="s">
        <v>298</v>
      </c>
      <c r="W30" s="273" t="s">
        <v>328</v>
      </c>
      <c r="X30" s="273" t="s">
        <v>329</v>
      </c>
      <c r="Y30" s="285"/>
      <c r="Z30" s="943"/>
      <c r="AA30" s="66"/>
      <c r="AB30" s="7"/>
      <c r="AC30" s="56"/>
      <c r="AD30" s="7"/>
      <c r="AE30" s="7"/>
      <c r="AF30" s="7"/>
      <c r="AG30" s="7"/>
      <c r="AH30" s="7"/>
      <c r="AI30" s="7"/>
      <c r="AJ30" s="7"/>
      <c r="AK30" s="7"/>
      <c r="AL30" s="7"/>
      <c r="AM30" s="7"/>
      <c r="AN30" s="7"/>
      <c r="AO30" s="7"/>
      <c r="AP30" s="7"/>
      <c r="AQ30" s="7"/>
      <c r="AR30" s="7"/>
      <c r="AS30" s="7"/>
      <c r="AT30" s="7"/>
      <c r="AU30" s="7"/>
    </row>
    <row r="31" spans="1:47" ht="20.100000000000001" customHeight="1">
      <c r="A31" s="7"/>
      <c r="B31" s="942"/>
      <c r="C31" s="415"/>
      <c r="D31" s="199"/>
      <c r="E31" s="285"/>
      <c r="F31" s="285"/>
      <c r="G31" s="285"/>
      <c r="H31" s="963"/>
      <c r="I31" s="963"/>
      <c r="J31" s="963"/>
      <c r="K31" s="963"/>
      <c r="L31" s="963"/>
      <c r="M31" s="199"/>
      <c r="N31" s="199"/>
      <c r="O31" s="285"/>
      <c r="P31" s="285"/>
      <c r="Q31" s="285"/>
      <c r="R31" s="963"/>
      <c r="S31" s="285"/>
      <c r="T31" s="285"/>
      <c r="U31" s="285"/>
      <c r="V31" s="285"/>
      <c r="W31" s="285"/>
      <c r="X31" s="285"/>
      <c r="Y31" s="285"/>
      <c r="Z31" s="943"/>
      <c r="AA31" s="66"/>
      <c r="AB31" s="7"/>
      <c r="AC31" s="56"/>
      <c r="AD31" s="7"/>
      <c r="AE31" s="7"/>
      <c r="AF31" s="7"/>
      <c r="AG31" s="7"/>
      <c r="AH31" s="7"/>
      <c r="AI31" s="7"/>
      <c r="AJ31" s="7"/>
      <c r="AK31" s="7"/>
      <c r="AL31" s="7"/>
      <c r="AM31" s="7"/>
      <c r="AN31" s="7"/>
      <c r="AO31" s="7"/>
      <c r="AP31" s="7"/>
      <c r="AQ31" s="7"/>
      <c r="AR31" s="7"/>
      <c r="AS31" s="7"/>
      <c r="AT31" s="7"/>
      <c r="AU31" s="7"/>
    </row>
    <row r="32" spans="1:47" ht="20.100000000000001" customHeight="1">
      <c r="A32" s="7"/>
      <c r="B32" s="942"/>
      <c r="C32" s="201" t="s">
        <v>114</v>
      </c>
      <c r="D32" s="199"/>
      <c r="E32" s="964" t="e">
        <f>IF(FEEDCHECKER!#REF!="","-",FEEDCHECKER!#REF!)</f>
        <v>#REF!</v>
      </c>
      <c r="F32" s="965" t="e">
        <f>IF(FEEDCHECKER!#REF!="","-",FEEDCHECKER!#REF!)</f>
        <v>#REF!</v>
      </c>
      <c r="G32" s="285"/>
      <c r="H32" s="966" t="e">
        <f>IF(FEEDCHECKER!#REF!="","-",FEEDCHECKER!#REF!)</f>
        <v>#REF!</v>
      </c>
      <c r="I32" s="967" t="e">
        <f>IF(FEEDCHECKER!#REF!="","-",FEEDCHECKER!#REF!)</f>
        <v>#REF!</v>
      </c>
      <c r="J32" s="967" t="e">
        <f>IF(FEEDCHECKER!#REF!="","-",FEEDCHECKER!#REF!)</f>
        <v>#REF!</v>
      </c>
      <c r="K32" s="967" t="e">
        <f>IF(FEEDCHECKER!#REF!="","-",FEEDCHECKER!#REF!)</f>
        <v>#REF!</v>
      </c>
      <c r="L32" s="967" t="e">
        <f>IF(FEEDCHECKER!#REF!="","-",FEEDCHECKER!#REF!)</f>
        <v>#REF!</v>
      </c>
      <c r="M32" s="199"/>
      <c r="N32" s="968" t="e">
        <f>FEEDCHECKER!#REF!</f>
        <v>#REF!</v>
      </c>
      <c r="O32" s="968" t="e">
        <f>FEEDCHECKER!#REF!</f>
        <v>#REF!</v>
      </c>
      <c r="P32" s="968" t="e">
        <f>FEEDCHECKER!#REF!</f>
        <v>#REF!</v>
      </c>
      <c r="Q32" s="968" t="e">
        <f>FEEDCHECKER!#REF!</f>
        <v>#REF!</v>
      </c>
      <c r="R32" s="968" t="e">
        <f>FEEDCHECKER!#REF!</f>
        <v>#REF!</v>
      </c>
      <c r="S32" s="968" t="e">
        <f>FEEDCHECKER!#REF!</f>
        <v>#REF!</v>
      </c>
      <c r="T32" s="968" t="e">
        <f>FEEDCHECKER!#REF!</f>
        <v>#REF!</v>
      </c>
      <c r="U32" s="285"/>
      <c r="V32" s="969" t="str">
        <f>IF(FEEDCHECKER!$BT$9="YES",FEEDCHECKER!#REF!,"")</f>
        <v/>
      </c>
      <c r="W32" s="970" t="str">
        <f>IF(FEEDCHECKER!$Q$34="YES",FEEDCHECKER!#REF!,"")</f>
        <v/>
      </c>
      <c r="X32" s="971" t="str">
        <f>IF(FEEDCHECKER!$Q$34="YES",FEEDCHECKER!AQ72,"")</f>
        <v/>
      </c>
      <c r="Y32" s="285"/>
      <c r="Z32" s="943"/>
      <c r="AA32" s="66"/>
      <c r="AB32" s="7"/>
      <c r="AC32" s="56"/>
      <c r="AD32" s="7"/>
      <c r="AE32" s="7"/>
      <c r="AF32" s="7"/>
      <c r="AG32" s="7"/>
      <c r="AH32" s="7"/>
      <c r="AI32" s="7"/>
      <c r="AJ32" s="7"/>
      <c r="AK32" s="7"/>
      <c r="AL32" s="7"/>
      <c r="AM32" s="7"/>
      <c r="AN32" s="7"/>
      <c r="AO32" s="7"/>
      <c r="AP32" s="7"/>
      <c r="AQ32" s="7"/>
      <c r="AR32" s="7"/>
      <c r="AS32" s="7"/>
      <c r="AT32" s="7"/>
      <c r="AU32" s="7"/>
    </row>
    <row r="33" spans="1:47" ht="20.100000000000001" customHeight="1">
      <c r="A33" s="7"/>
      <c r="B33" s="942"/>
      <c r="C33" s="415"/>
      <c r="D33" s="199"/>
      <c r="E33" s="285"/>
      <c r="F33" s="285"/>
      <c r="G33" s="285"/>
      <c r="H33" s="200"/>
      <c r="I33" s="276"/>
      <c r="J33" s="285"/>
      <c r="K33" s="285"/>
      <c r="L33" s="285"/>
      <c r="M33" s="199"/>
      <c r="N33" s="199"/>
      <c r="O33" s="285"/>
      <c r="P33" s="285"/>
      <c r="Q33" s="285"/>
      <c r="R33" s="285"/>
      <c r="S33" s="285"/>
      <c r="T33" s="285"/>
      <c r="U33" s="285"/>
      <c r="V33" s="285"/>
      <c r="W33" s="276"/>
      <c r="X33" s="276"/>
      <c r="Y33" s="285"/>
      <c r="Z33" s="943"/>
      <c r="AA33" s="66"/>
      <c r="AB33" s="7"/>
      <c r="AC33" s="56"/>
      <c r="AD33" s="7"/>
      <c r="AE33" s="7"/>
      <c r="AF33" s="7"/>
      <c r="AG33" s="7"/>
      <c r="AH33" s="7"/>
      <c r="AI33" s="7"/>
      <c r="AJ33" s="7"/>
      <c r="AK33" s="7"/>
      <c r="AL33" s="7"/>
      <c r="AM33" s="7"/>
      <c r="AN33" s="7"/>
      <c r="AO33" s="7"/>
      <c r="AP33" s="7"/>
      <c r="AQ33" s="7"/>
      <c r="AR33" s="7"/>
      <c r="AS33" s="7"/>
      <c r="AT33" s="7"/>
      <c r="AU33" s="7"/>
    </row>
    <row r="34" spans="1:47" ht="20.100000000000001" customHeight="1">
      <c r="A34" s="7"/>
      <c r="B34" s="942"/>
      <c r="C34" s="937" t="s">
        <v>115</v>
      </c>
      <c r="D34" s="199"/>
      <c r="E34" s="964" t="e">
        <f>IF(FEEDCHECKER!#REF!="","-",FEEDCHECKER!#REF!)</f>
        <v>#REF!</v>
      </c>
      <c r="F34" s="972" t="e">
        <f>IF(FEEDCHECKER!#REF!="","-",FEEDCHECKER!#REF!)</f>
        <v>#REF!</v>
      </c>
      <c r="G34" s="285"/>
      <c r="H34" s="966" t="e">
        <f>IF(FEEDCHECKER!#REF!="","-",FEEDCHECKER!#REF!)</f>
        <v>#REF!</v>
      </c>
      <c r="I34" s="967" t="e">
        <f>IF(FEEDCHECKER!#REF!="","-",FEEDCHECKER!#REF!)</f>
        <v>#REF!</v>
      </c>
      <c r="J34" s="967" t="e">
        <f>IF(FEEDCHECKER!#REF!="","-",FEEDCHECKER!#REF!)</f>
        <v>#REF!</v>
      </c>
      <c r="K34" s="967" t="e">
        <f>IF(FEEDCHECKER!#REF!="","-",FEEDCHECKER!#REF!)</f>
        <v>#REF!</v>
      </c>
      <c r="L34" s="967" t="e">
        <f>IF(FEEDCHECKER!#REF!="","-",FEEDCHECKER!#REF!)</f>
        <v>#REF!</v>
      </c>
      <c r="M34" s="199"/>
      <c r="N34" s="968" t="e">
        <f>FEEDCHECKER!#REF!</f>
        <v>#REF!</v>
      </c>
      <c r="O34" s="968" t="e">
        <f>FEEDCHECKER!#REF!</f>
        <v>#REF!</v>
      </c>
      <c r="P34" s="968" t="e">
        <f>FEEDCHECKER!#REF!</f>
        <v>#REF!</v>
      </c>
      <c r="Q34" s="968" t="e">
        <f>FEEDCHECKER!#REF!</f>
        <v>#REF!</v>
      </c>
      <c r="R34" s="968" t="e">
        <f>FEEDCHECKER!#REF!</f>
        <v>#REF!</v>
      </c>
      <c r="S34" s="968" t="e">
        <f>FEEDCHECKER!#REF!</f>
        <v>#REF!</v>
      </c>
      <c r="T34" s="968">
        <f>FEEDCHECKER!BT18</f>
        <v>0</v>
      </c>
      <c r="U34" s="285"/>
      <c r="V34" s="969" t="str">
        <f>IF(FEEDCHECKER!$BT$9="YES",FEEDCHECKER!#REF!,"")</f>
        <v/>
      </c>
      <c r="W34" s="970" t="str">
        <f>IF(FEEDCHECKER!$Q$34="YES",FEEDCHECKER!AN72,"")</f>
        <v/>
      </c>
      <c r="X34" s="971" t="str">
        <f>IF(FEEDCHECKER!$Q$34="YES",FEEDCHECKER!AP79,"")</f>
        <v/>
      </c>
      <c r="Y34" s="285"/>
      <c r="Z34" s="943"/>
      <c r="AA34" s="66"/>
      <c r="AB34" s="7"/>
      <c r="AC34" s="56"/>
      <c r="AD34" s="7"/>
      <c r="AE34" s="7"/>
      <c r="AF34" s="7"/>
      <c r="AG34" s="7"/>
      <c r="AH34" s="7"/>
      <c r="AI34" s="7"/>
      <c r="AJ34" s="7"/>
      <c r="AK34" s="7"/>
      <c r="AL34" s="7"/>
      <c r="AM34" s="7"/>
      <c r="AN34" s="7"/>
      <c r="AO34" s="7"/>
      <c r="AP34" s="7"/>
      <c r="AQ34" s="7"/>
      <c r="AR34" s="7"/>
      <c r="AS34" s="7"/>
      <c r="AT34" s="7"/>
      <c r="AU34" s="7"/>
    </row>
    <row r="35" spans="1:47">
      <c r="A35" s="7"/>
      <c r="B35" s="942"/>
      <c r="C35" s="200"/>
      <c r="D35" s="199"/>
      <c r="E35" s="199"/>
      <c r="F35" s="199"/>
      <c r="G35" s="285"/>
      <c r="H35" s="407"/>
      <c r="I35" s="285"/>
      <c r="J35" s="743"/>
      <c r="K35" s="750"/>
      <c r="L35" s="743"/>
      <c r="M35" s="743"/>
      <c r="N35" s="743"/>
      <c r="O35" s="743"/>
      <c r="P35" s="750"/>
      <c r="Q35" s="743"/>
      <c r="R35" s="285"/>
      <c r="S35" s="285"/>
      <c r="T35" s="285"/>
      <c r="U35" s="285"/>
      <c r="V35" s="285"/>
      <c r="W35" s="285"/>
      <c r="X35" s="285"/>
      <c r="Y35" s="285"/>
      <c r="Z35" s="943"/>
      <c r="AA35" s="7"/>
      <c r="AB35" s="7"/>
      <c r="AC35" s="7"/>
      <c r="AD35" s="7"/>
      <c r="AE35" s="7"/>
      <c r="AF35" s="7"/>
      <c r="AG35" s="7"/>
      <c r="AH35" s="7"/>
      <c r="AI35" s="7"/>
      <c r="AJ35" s="7"/>
      <c r="AK35" s="7"/>
      <c r="AL35" s="7"/>
      <c r="AM35" s="7"/>
      <c r="AN35" s="7"/>
      <c r="AO35" s="7"/>
      <c r="AP35" s="7"/>
      <c r="AQ35" s="7"/>
      <c r="AR35" s="7"/>
      <c r="AS35" s="7"/>
      <c r="AT35" s="7"/>
      <c r="AU35" s="7"/>
    </row>
    <row r="36" spans="1:47">
      <c r="A36" s="7"/>
      <c r="B36" s="944"/>
      <c r="C36" s="945"/>
      <c r="D36" s="945"/>
      <c r="E36" s="945"/>
      <c r="F36" s="945"/>
      <c r="G36" s="945"/>
      <c r="H36" s="945"/>
      <c r="I36" s="945"/>
      <c r="J36" s="945"/>
      <c r="K36" s="945"/>
      <c r="L36" s="945"/>
      <c r="M36" s="945"/>
      <c r="N36" s="945"/>
      <c r="O36" s="945"/>
      <c r="P36" s="946"/>
      <c r="Q36" s="945"/>
      <c r="R36" s="945"/>
      <c r="S36" s="945"/>
      <c r="T36" s="945"/>
      <c r="U36" s="945"/>
      <c r="V36" s="945"/>
      <c r="W36" s="945"/>
      <c r="X36" s="945"/>
      <c r="Y36" s="945"/>
      <c r="Z36" s="947"/>
      <c r="AA36" s="7"/>
      <c r="AB36" s="7"/>
      <c r="AC36" s="7"/>
      <c r="AD36" s="7"/>
      <c r="AE36" s="7"/>
      <c r="AF36" s="7"/>
      <c r="AG36" s="7"/>
      <c r="AH36" s="7"/>
      <c r="AI36" s="7"/>
      <c r="AJ36" s="7"/>
      <c r="AK36" s="7"/>
      <c r="AL36" s="7"/>
      <c r="AM36" s="7"/>
      <c r="AN36" s="7"/>
      <c r="AO36" s="7"/>
      <c r="AP36" s="7"/>
      <c r="AQ36" s="7"/>
      <c r="AR36" s="7"/>
      <c r="AS36" s="7"/>
      <c r="AT36" s="7"/>
      <c r="AU36" s="7"/>
    </row>
    <row r="37" spans="1:47">
      <c r="A37" s="7"/>
      <c r="B37" s="53"/>
      <c r="C37" s="53"/>
      <c r="D37" s="53"/>
      <c r="E37" s="53"/>
      <c r="F37" s="53"/>
      <c r="G37" s="53"/>
      <c r="H37" s="53"/>
      <c r="I37" s="53"/>
      <c r="J37" s="53"/>
      <c r="K37" s="53"/>
      <c r="L37" s="53"/>
      <c r="M37" s="53"/>
      <c r="N37" s="53"/>
      <c r="O37" s="53"/>
      <c r="P37" s="96"/>
      <c r="Q37" s="53"/>
      <c r="R37" s="53"/>
      <c r="S37" s="96"/>
      <c r="T37" s="53"/>
      <c r="U37" s="53"/>
      <c r="V37" s="53"/>
      <c r="W37" s="53"/>
      <c r="X37" s="53"/>
      <c r="Y37" s="53"/>
      <c r="Z37" s="53"/>
      <c r="AA37" s="7"/>
      <c r="AB37" s="7"/>
      <c r="AC37" s="7"/>
      <c r="AD37" s="7"/>
      <c r="AE37" s="7"/>
      <c r="AF37" s="7"/>
      <c r="AG37" s="7"/>
      <c r="AH37" s="7"/>
      <c r="AI37" s="7"/>
      <c r="AJ37" s="7"/>
      <c r="AK37" s="7"/>
      <c r="AL37" s="7"/>
      <c r="AM37" s="7"/>
      <c r="AN37" s="7"/>
      <c r="AO37" s="7"/>
      <c r="AP37" s="7"/>
      <c r="AQ37" s="7"/>
      <c r="AR37" s="7"/>
      <c r="AS37" s="7"/>
      <c r="AT37" s="7"/>
      <c r="AU37" s="7"/>
    </row>
    <row r="38" spans="1:47">
      <c r="A38" s="7"/>
      <c r="B38" s="7"/>
      <c r="C38" s="7"/>
      <c r="D38" s="7"/>
      <c r="E38" s="7"/>
      <c r="F38" s="7"/>
      <c r="G38" s="7"/>
      <c r="H38" s="7"/>
      <c r="I38" s="7"/>
      <c r="J38" s="7"/>
      <c r="K38" s="7"/>
      <c r="L38" s="7"/>
      <c r="M38" s="7"/>
      <c r="N38" s="7"/>
      <c r="O38" s="7"/>
      <c r="P38" s="26"/>
      <c r="Q38" s="7"/>
      <c r="R38" s="7"/>
      <c r="S38" s="26"/>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row>
    <row r="39" spans="1:47">
      <c r="A39" s="7"/>
      <c r="B39" s="7"/>
      <c r="C39" s="7"/>
      <c r="D39" s="7"/>
      <c r="E39" s="7"/>
      <c r="F39" s="7"/>
      <c r="G39" s="7"/>
      <c r="H39" s="7"/>
      <c r="I39" s="7"/>
      <c r="J39" s="7"/>
      <c r="K39" s="7"/>
      <c r="L39" s="7"/>
      <c r="M39" s="7"/>
      <c r="N39" s="7"/>
      <c r="O39" s="7"/>
      <c r="P39" s="26"/>
      <c r="Q39" s="7"/>
      <c r="R39" s="7"/>
      <c r="S39" s="26"/>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row>
    <row r="40" spans="1:47">
      <c r="A40" s="7"/>
      <c r="B40" s="7"/>
      <c r="C40" s="7"/>
      <c r="D40" s="7"/>
      <c r="E40" s="7"/>
      <c r="F40" s="7"/>
      <c r="G40" s="7"/>
      <c r="H40" s="7"/>
      <c r="I40" s="7"/>
      <c r="J40" s="7"/>
      <c r="K40" s="7"/>
      <c r="L40" s="7"/>
      <c r="M40" s="7"/>
      <c r="N40" s="7"/>
      <c r="O40" s="7"/>
      <c r="P40" s="26"/>
      <c r="Q40" s="7"/>
      <c r="R40" s="7"/>
      <c r="S40" s="26"/>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row>
    <row r="41" spans="1:47">
      <c r="A41" s="7"/>
      <c r="B41" s="7"/>
      <c r="C41" s="7"/>
      <c r="D41" s="7"/>
      <c r="E41" s="7"/>
      <c r="F41" s="7"/>
      <c r="G41" s="7"/>
      <c r="H41" s="7"/>
      <c r="I41" s="7"/>
      <c r="J41" s="7"/>
      <c r="K41" s="7"/>
      <c r="L41" s="7"/>
      <c r="M41" s="7"/>
      <c r="N41" s="7"/>
      <c r="O41" s="7"/>
      <c r="P41" s="26"/>
      <c r="Q41" s="7"/>
      <c r="R41" s="7"/>
      <c r="S41" s="26"/>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row>
    <row r="42" spans="1:47">
      <c r="A42" s="7"/>
      <c r="B42" s="7"/>
      <c r="C42" s="7"/>
      <c r="D42" s="7"/>
      <c r="E42" s="7"/>
      <c r="F42" s="7"/>
      <c r="G42" s="7"/>
      <c r="H42" s="7"/>
      <c r="I42" s="7"/>
      <c r="J42" s="7"/>
      <c r="K42" s="7"/>
      <c r="L42" s="7"/>
      <c r="M42" s="7"/>
      <c r="N42" s="7"/>
      <c r="O42" s="7"/>
      <c r="P42" s="26"/>
      <c r="Q42" s="7"/>
      <c r="R42" s="7"/>
      <c r="S42" s="26"/>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row>
    <row r="43" spans="1:47">
      <c r="A43" s="7"/>
      <c r="B43" s="7"/>
      <c r="C43" s="7"/>
      <c r="D43" s="7"/>
      <c r="E43" s="7"/>
      <c r="F43" s="7"/>
      <c r="G43" s="7"/>
      <c r="H43" s="7"/>
      <c r="I43" s="7"/>
      <c r="J43" s="7"/>
      <c r="K43" s="7"/>
      <c r="L43" s="7"/>
      <c r="M43" s="7"/>
      <c r="N43" s="7"/>
      <c r="O43" s="7"/>
      <c r="P43" s="26"/>
      <c r="Q43" s="7"/>
      <c r="R43" s="7"/>
      <c r="S43" s="26"/>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row>
    <row r="44" spans="1:47">
      <c r="A44" s="7"/>
      <c r="B44" s="7"/>
      <c r="C44" s="7"/>
      <c r="D44" s="7"/>
      <c r="E44" s="7"/>
      <c r="F44" s="7"/>
      <c r="G44" s="7"/>
      <c r="H44" s="7"/>
      <c r="I44" s="7"/>
      <c r="J44" s="7"/>
      <c r="K44" s="7"/>
      <c r="L44" s="7"/>
      <c r="M44" s="7"/>
      <c r="N44" s="7"/>
      <c r="O44" s="7"/>
      <c r="P44" s="26"/>
      <c r="Q44" s="7"/>
      <c r="R44" s="7"/>
      <c r="S44" s="26"/>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row>
    <row r="45" spans="1:47">
      <c r="A45" s="7"/>
      <c r="B45" s="7"/>
      <c r="C45" s="7"/>
      <c r="D45" s="7"/>
      <c r="E45" s="7"/>
      <c r="F45" s="7"/>
      <c r="G45" s="7"/>
      <c r="H45" s="7"/>
      <c r="I45" s="7"/>
      <c r="J45" s="7"/>
      <c r="K45" s="7"/>
      <c r="L45" s="7"/>
      <c r="M45" s="7"/>
      <c r="N45" s="7"/>
      <c r="O45" s="7"/>
      <c r="P45" s="26"/>
      <c r="Q45" s="7"/>
      <c r="R45" s="7"/>
      <c r="S45" s="26"/>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row>
    <row r="46" spans="1:47">
      <c r="A46" s="7"/>
      <c r="B46" s="7"/>
      <c r="C46" s="7"/>
      <c r="D46" s="7"/>
      <c r="E46" s="7"/>
      <c r="F46" s="7"/>
      <c r="G46" s="7"/>
      <c r="H46" s="7"/>
      <c r="I46" s="7"/>
      <c r="J46" s="7"/>
      <c r="K46" s="7"/>
      <c r="L46" s="7"/>
      <c r="M46" s="7"/>
      <c r="N46" s="7"/>
      <c r="O46" s="7"/>
      <c r="P46" s="26"/>
      <c r="Q46" s="7"/>
      <c r="R46" s="7"/>
      <c r="S46" s="26"/>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row>
    <row r="47" spans="1:47">
      <c r="A47" s="7"/>
      <c r="B47" s="7"/>
      <c r="C47" s="7"/>
      <c r="D47" s="7"/>
      <c r="E47" s="7"/>
      <c r="F47" s="7"/>
      <c r="G47" s="7"/>
      <c r="H47" s="7"/>
      <c r="I47" s="7"/>
      <c r="J47" s="7"/>
      <c r="K47" s="7"/>
      <c r="L47" s="7"/>
      <c r="M47" s="7"/>
      <c r="N47" s="7"/>
      <c r="O47" s="7"/>
      <c r="P47" s="26"/>
      <c r="Q47" s="7"/>
      <c r="R47" s="7"/>
      <c r="S47" s="26"/>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row>
    <row r="48" spans="1:47">
      <c r="A48" s="7"/>
      <c r="B48" s="7"/>
      <c r="C48" s="7"/>
      <c r="D48" s="7"/>
      <c r="E48" s="7"/>
      <c r="F48" s="7"/>
      <c r="G48" s="7"/>
      <c r="H48" s="7"/>
      <c r="I48" s="7"/>
      <c r="J48" s="7"/>
      <c r="K48" s="7"/>
      <c r="L48" s="7"/>
      <c r="M48" s="7"/>
      <c r="N48" s="7"/>
      <c r="O48" s="7"/>
      <c r="P48" s="26"/>
      <c r="Q48" s="7"/>
      <c r="R48" s="7"/>
      <c r="S48" s="26"/>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row>
    <row r="49" spans="1:47">
      <c r="A49" s="7"/>
      <c r="B49" s="7"/>
      <c r="C49" s="7"/>
      <c r="D49" s="7"/>
      <c r="E49" s="7"/>
      <c r="F49" s="7"/>
      <c r="G49" s="7"/>
      <c r="H49" s="7"/>
      <c r="I49" s="7"/>
      <c r="J49" s="7"/>
      <c r="K49" s="7"/>
      <c r="L49" s="7"/>
      <c r="M49" s="7"/>
      <c r="N49" s="7"/>
      <c r="O49" s="7"/>
      <c r="P49" s="26"/>
      <c r="Q49" s="7"/>
      <c r="R49" s="7"/>
      <c r="S49" s="26"/>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row>
    <row r="50" spans="1:47">
      <c r="A50" s="7"/>
      <c r="B50" s="7"/>
      <c r="C50" s="7"/>
      <c r="D50" s="7"/>
      <c r="E50" s="7"/>
      <c r="F50" s="7"/>
      <c r="G50" s="7"/>
      <c r="H50" s="7"/>
      <c r="I50" s="7"/>
      <c r="J50" s="7"/>
      <c r="K50" s="7"/>
      <c r="L50" s="7"/>
      <c r="M50" s="7"/>
      <c r="N50" s="7"/>
      <c r="O50" s="7"/>
      <c r="P50" s="26"/>
      <c r="Q50" s="7"/>
      <c r="R50" s="7"/>
      <c r="S50" s="26"/>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row>
    <row r="51" spans="1:47">
      <c r="A51" s="7"/>
      <c r="B51" s="7"/>
      <c r="C51" s="7"/>
      <c r="D51" s="7"/>
      <c r="E51" s="7"/>
      <c r="F51" s="7"/>
      <c r="G51" s="7"/>
      <c r="H51" s="7"/>
      <c r="I51" s="7"/>
      <c r="J51" s="7"/>
      <c r="K51" s="7"/>
      <c r="L51" s="7"/>
      <c r="M51" s="7"/>
      <c r="N51" s="7"/>
      <c r="O51" s="7"/>
      <c r="P51" s="26"/>
      <c r="Q51" s="7"/>
      <c r="R51" s="7"/>
      <c r="S51" s="26"/>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row>
    <row r="52" spans="1:47">
      <c r="A52" s="7"/>
      <c r="B52" s="7"/>
      <c r="C52" s="7"/>
      <c r="D52" s="7"/>
      <c r="E52" s="7"/>
      <c r="F52" s="7"/>
      <c r="G52" s="7"/>
      <c r="H52" s="7"/>
      <c r="I52" s="7"/>
      <c r="J52" s="7"/>
      <c r="K52" s="7"/>
      <c r="L52" s="7"/>
      <c r="M52" s="7"/>
      <c r="N52" s="7"/>
      <c r="O52" s="7"/>
      <c r="P52" s="26"/>
      <c r="Q52" s="7"/>
      <c r="R52" s="7"/>
      <c r="S52" s="26"/>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row>
    <row r="53" spans="1:47">
      <c r="A53" s="7"/>
      <c r="B53" s="7"/>
      <c r="C53" s="7"/>
      <c r="D53" s="7"/>
      <c r="E53" s="7"/>
      <c r="F53" s="7"/>
      <c r="G53" s="7"/>
      <c r="H53" s="7"/>
      <c r="I53" s="7"/>
      <c r="J53" s="7"/>
      <c r="K53" s="7"/>
      <c r="L53" s="7"/>
      <c r="M53" s="7"/>
      <c r="N53" s="7"/>
      <c r="O53" s="7"/>
      <c r="P53" s="26"/>
      <c r="Q53" s="7"/>
      <c r="R53" s="7"/>
      <c r="S53" s="26"/>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row>
    <row r="54" spans="1:47">
      <c r="B54" s="7"/>
      <c r="C54" s="7"/>
      <c r="D54" s="7"/>
      <c r="E54" s="7"/>
      <c r="F54" s="7"/>
      <c r="G54" s="7"/>
      <c r="H54" s="7"/>
      <c r="I54" s="7"/>
      <c r="J54" s="7"/>
      <c r="K54" s="7"/>
      <c r="L54" s="7"/>
      <c r="M54" s="7"/>
      <c r="N54" s="7"/>
      <c r="O54" s="7"/>
      <c r="P54" s="26"/>
      <c r="Q54" s="7"/>
      <c r="R54" s="7"/>
      <c r="S54" s="26"/>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row>
    <row r="55" spans="1:47">
      <c r="B55" s="7"/>
      <c r="C55" s="7"/>
      <c r="D55" s="7"/>
      <c r="E55" s="7"/>
      <c r="F55" s="7"/>
      <c r="G55" s="7"/>
      <c r="H55" s="7"/>
      <c r="I55" s="7"/>
      <c r="J55" s="7"/>
      <c r="K55" s="7"/>
      <c r="L55" s="7"/>
      <c r="M55" s="7"/>
      <c r="N55" s="7"/>
      <c r="O55" s="7"/>
      <c r="P55" s="26"/>
      <c r="Q55" s="7"/>
      <c r="R55" s="7"/>
      <c r="S55" s="26"/>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row>
    <row r="56" spans="1:47">
      <c r="B56" s="7"/>
      <c r="C56" s="7"/>
      <c r="D56" s="7"/>
      <c r="E56" s="7"/>
      <c r="F56" s="7"/>
      <c r="G56" s="7"/>
      <c r="H56" s="7"/>
      <c r="I56" s="7"/>
      <c r="J56" s="7"/>
      <c r="K56" s="7"/>
      <c r="L56" s="7"/>
      <c r="M56" s="7"/>
      <c r="N56" s="7"/>
      <c r="O56" s="7"/>
      <c r="P56" s="26"/>
      <c r="Q56" s="7"/>
      <c r="R56" s="7"/>
      <c r="S56" s="26"/>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row>
    <row r="57" spans="1:47">
      <c r="B57" s="7"/>
      <c r="C57" s="7"/>
      <c r="D57" s="7"/>
      <c r="E57" s="7"/>
      <c r="F57" s="7"/>
      <c r="G57" s="7"/>
      <c r="H57" s="7"/>
      <c r="I57" s="7"/>
      <c r="J57" s="7"/>
      <c r="K57" s="7"/>
      <c r="L57" s="7"/>
      <c r="M57" s="7"/>
      <c r="N57" s="7"/>
      <c r="O57" s="7"/>
      <c r="P57" s="26"/>
      <c r="Q57" s="7"/>
      <c r="R57" s="7"/>
      <c r="S57" s="26"/>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row>
    <row r="58" spans="1:47">
      <c r="B58" s="7"/>
      <c r="C58" s="7"/>
      <c r="D58" s="7"/>
      <c r="E58" s="7"/>
      <c r="F58" s="7"/>
      <c r="G58" s="7"/>
      <c r="H58" s="7"/>
      <c r="I58" s="7"/>
      <c r="J58" s="7"/>
      <c r="K58" s="7"/>
      <c r="L58" s="7"/>
      <c r="M58" s="7"/>
      <c r="N58" s="7"/>
      <c r="O58" s="7"/>
      <c r="P58" s="26"/>
      <c r="Q58" s="7"/>
      <c r="R58" s="7"/>
      <c r="S58" s="26"/>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row>
    <row r="59" spans="1:47">
      <c r="B59" s="7"/>
      <c r="C59" s="7"/>
      <c r="D59" s="7"/>
      <c r="E59" s="7"/>
      <c r="F59" s="7"/>
      <c r="G59" s="7"/>
      <c r="H59" s="7"/>
      <c r="I59" s="7"/>
      <c r="J59" s="7"/>
      <c r="K59" s="7"/>
      <c r="L59" s="7"/>
      <c r="M59" s="7"/>
      <c r="N59" s="7"/>
      <c r="O59" s="7"/>
      <c r="P59" s="26"/>
      <c r="Q59" s="7"/>
      <c r="R59" s="7"/>
      <c r="S59" s="26"/>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row>
    <row r="60" spans="1:47">
      <c r="B60" s="7"/>
      <c r="C60" s="7"/>
      <c r="D60" s="7"/>
      <c r="E60" s="7"/>
      <c r="F60" s="7"/>
      <c r="G60" s="7"/>
      <c r="H60" s="7"/>
      <c r="I60" s="7"/>
      <c r="J60" s="7"/>
      <c r="K60" s="7"/>
      <c r="L60" s="7"/>
      <c r="M60" s="7"/>
      <c r="N60" s="7"/>
      <c r="O60" s="7"/>
      <c r="P60" s="26"/>
      <c r="Q60" s="7"/>
      <c r="R60" s="7"/>
      <c r="S60" s="26"/>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row>
    <row r="61" spans="1:47">
      <c r="B61" s="7"/>
      <c r="C61" s="7"/>
      <c r="D61" s="7"/>
      <c r="E61" s="7"/>
      <c r="F61" s="7"/>
      <c r="G61" s="7"/>
      <c r="H61" s="7"/>
      <c r="I61" s="7"/>
      <c r="J61" s="7"/>
      <c r="K61" s="7"/>
      <c r="L61" s="7"/>
      <c r="M61" s="7"/>
      <c r="N61" s="7"/>
      <c r="O61" s="7"/>
      <c r="P61" s="26"/>
      <c r="Q61" s="7"/>
      <c r="R61" s="7"/>
      <c r="S61" s="26"/>
      <c r="T61" s="7"/>
      <c r="U61" s="7"/>
      <c r="V61" s="7"/>
      <c r="W61" s="7"/>
      <c r="X61" s="7"/>
      <c r="Y61" s="7"/>
      <c r="Z61" s="7"/>
      <c r="AA61" s="7"/>
      <c r="AB61" s="7"/>
      <c r="AC61" s="7"/>
      <c r="AD61" s="7"/>
      <c r="AE61" s="7"/>
      <c r="AF61" s="7"/>
    </row>
    <row r="62" spans="1:47">
      <c r="B62" s="7"/>
      <c r="C62" s="7"/>
      <c r="D62" s="7"/>
      <c r="E62" s="7"/>
      <c r="F62" s="7"/>
      <c r="G62" s="7"/>
      <c r="H62" s="7"/>
      <c r="I62" s="7"/>
      <c r="J62" s="7"/>
      <c r="K62" s="7"/>
      <c r="L62" s="7"/>
      <c r="M62" s="7"/>
      <c r="N62" s="7"/>
      <c r="O62" s="7"/>
      <c r="P62" s="26"/>
      <c r="Q62" s="7"/>
      <c r="R62" s="7"/>
      <c r="S62" s="26"/>
      <c r="T62" s="7"/>
      <c r="U62" s="7"/>
      <c r="V62" s="7"/>
      <c r="W62" s="7"/>
      <c r="X62" s="7"/>
      <c r="Y62" s="7"/>
      <c r="Z62" s="7"/>
      <c r="AA62" s="7"/>
      <c r="AB62" s="7"/>
      <c r="AC62" s="7"/>
      <c r="AD62" s="7"/>
      <c r="AE62" s="7"/>
      <c r="AF62" s="7"/>
    </row>
    <row r="63" spans="1:47">
      <c r="B63" s="7"/>
      <c r="C63" s="7"/>
      <c r="D63" s="7"/>
      <c r="E63" s="7"/>
      <c r="F63" s="7"/>
      <c r="G63" s="7"/>
      <c r="H63" s="7"/>
      <c r="I63" s="7"/>
      <c r="J63" s="7"/>
      <c r="K63" s="7"/>
      <c r="L63" s="7"/>
      <c r="M63" s="7"/>
      <c r="N63" s="7"/>
      <c r="O63" s="7"/>
      <c r="P63" s="26"/>
      <c r="Q63" s="7"/>
      <c r="R63" s="7"/>
      <c r="S63" s="26"/>
      <c r="T63" s="7"/>
      <c r="U63" s="7"/>
      <c r="V63" s="7"/>
      <c r="W63" s="7"/>
      <c r="X63" s="7"/>
      <c r="Y63" s="7"/>
      <c r="Z63" s="7"/>
      <c r="AA63" s="7"/>
      <c r="AB63" s="7"/>
      <c r="AC63" s="7"/>
      <c r="AD63" s="7"/>
      <c r="AE63" s="7"/>
      <c r="AF63" s="7"/>
    </row>
    <row r="64" spans="1:47">
      <c r="B64" s="7"/>
      <c r="C64" s="7"/>
      <c r="D64" s="7"/>
      <c r="E64" s="7"/>
      <c r="F64" s="7"/>
      <c r="G64" s="7"/>
      <c r="H64" s="7"/>
      <c r="I64" s="7"/>
      <c r="J64" s="7"/>
      <c r="K64" s="7"/>
      <c r="L64" s="7"/>
      <c r="M64" s="7"/>
      <c r="N64" s="7"/>
      <c r="O64" s="7"/>
      <c r="P64" s="26"/>
      <c r="Q64" s="7"/>
      <c r="R64" s="7"/>
      <c r="S64" s="26"/>
      <c r="T64" s="7"/>
      <c r="U64" s="7"/>
      <c r="V64" s="7"/>
      <c r="W64" s="7"/>
      <c r="X64" s="7"/>
      <c r="Y64" s="7"/>
      <c r="Z64" s="7"/>
      <c r="AA64" s="7"/>
      <c r="AB64" s="7"/>
      <c r="AC64" s="7"/>
      <c r="AD64" s="7"/>
      <c r="AE64" s="7"/>
      <c r="AF64" s="7"/>
    </row>
  </sheetData>
  <mergeCells count="3">
    <mergeCell ref="W29:X29"/>
    <mergeCell ref="U5:V5"/>
    <mergeCell ref="W5:X5"/>
  </mergeCells>
  <conditionalFormatting sqref="N30:S30 V30">
    <cfRule type="expression" dxfId="14" priority="3840">
      <formula>$N$5="NO"</formula>
    </cfRule>
  </conditionalFormatting>
  <pageMargins left="0.25" right="0.25" top="0.75" bottom="0.75" header="0.3" footer="0.3"/>
  <pageSetup paperSize="9" scale="3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tint="-0.499984740745262"/>
    <pageSetUpPr fitToPage="1"/>
  </sheetPr>
  <dimension ref="A1:AQ72"/>
  <sheetViews>
    <sheetView zoomScale="60" zoomScaleNormal="60" workbookViewId="0">
      <selection activeCell="AD15" sqref="AD15"/>
    </sheetView>
  </sheetViews>
  <sheetFormatPr defaultRowHeight="14.4"/>
  <cols>
    <col min="2" max="2" width="6.5546875" customWidth="1"/>
    <col min="3" max="3" width="15.5546875" customWidth="1"/>
    <col min="4" max="4" width="17" customWidth="1"/>
    <col min="5" max="9" width="15.5546875" customWidth="1"/>
    <col min="10" max="10" width="17.5546875" customWidth="1"/>
    <col min="11" max="11" width="16.88671875" customWidth="1"/>
    <col min="12" max="12" width="20.109375" customWidth="1"/>
    <col min="13" max="13" width="25.88671875" customWidth="1"/>
    <col min="14" max="14" width="16.44140625" style="52" customWidth="1"/>
    <col min="15" max="15" width="15.5546875" customWidth="1"/>
    <col min="16" max="16" width="17.5546875" customWidth="1"/>
    <col min="17" max="17" width="15.5546875" style="52" customWidth="1"/>
    <col min="18" max="18" width="19.44140625" customWidth="1"/>
    <col min="19" max="19" width="9.5546875" customWidth="1"/>
    <col min="20" max="20" width="10.88671875" customWidth="1"/>
    <col min="21" max="21" width="5.5546875" customWidth="1"/>
  </cols>
  <sheetData>
    <row r="1" spans="1:43">
      <c r="A1" s="7"/>
      <c r="B1" s="7"/>
      <c r="C1" s="7"/>
      <c r="D1" s="7"/>
      <c r="E1" s="7"/>
      <c r="F1" s="7"/>
      <c r="G1" s="7"/>
      <c r="H1" s="7"/>
      <c r="I1" s="7"/>
      <c r="J1" s="7"/>
      <c r="K1" s="7"/>
      <c r="L1" s="7"/>
      <c r="M1" s="7"/>
      <c r="N1" s="26"/>
      <c r="O1" s="7"/>
      <c r="P1" s="7"/>
      <c r="Q1" s="26"/>
      <c r="R1" s="7"/>
      <c r="S1" s="7"/>
      <c r="T1" s="7"/>
      <c r="U1" s="7"/>
      <c r="V1" s="7"/>
      <c r="W1" s="7"/>
      <c r="X1" s="7"/>
      <c r="Y1" s="7"/>
      <c r="Z1" s="7"/>
      <c r="AA1" s="7"/>
      <c r="AB1" s="7"/>
      <c r="AC1" s="7"/>
      <c r="AD1" s="7"/>
      <c r="AE1" s="7"/>
      <c r="AF1" s="7"/>
      <c r="AG1" s="7"/>
      <c r="AH1" s="7"/>
      <c r="AI1" s="7"/>
      <c r="AJ1" s="7"/>
      <c r="AK1" s="7"/>
      <c r="AL1" s="7"/>
      <c r="AM1" s="7"/>
      <c r="AN1" s="7"/>
      <c r="AO1" s="7"/>
      <c r="AP1" s="7"/>
      <c r="AQ1" s="7"/>
    </row>
    <row r="2" spans="1:43" ht="33.6">
      <c r="A2" s="7"/>
      <c r="B2" s="45" t="s">
        <v>176</v>
      </c>
      <c r="C2" s="43"/>
      <c r="D2" s="43"/>
      <c r="E2" s="54" t="s">
        <v>184</v>
      </c>
      <c r="F2" s="761">
        <f ca="1">'   ASK    '!K2</f>
        <v>45392</v>
      </c>
      <c r="G2" s="53"/>
      <c r="H2" s="55" t="s">
        <v>324</v>
      </c>
      <c r="I2" s="96"/>
      <c r="J2" s="880">
        <f ca="1">IF('   ASK    '!$Q$2="",$F$2,'   ASK    '!$Q$2)</f>
        <v>45392</v>
      </c>
      <c r="K2" s="43"/>
      <c r="L2" s="53"/>
      <c r="M2" s="53"/>
      <c r="N2" s="96"/>
      <c r="O2" s="53"/>
      <c r="P2" s="53"/>
      <c r="Q2" s="96"/>
      <c r="R2" s="53"/>
      <c r="S2" s="53"/>
      <c r="T2" s="53"/>
      <c r="U2" s="53"/>
      <c r="V2" s="53"/>
      <c r="W2" s="7"/>
      <c r="X2" s="7"/>
      <c r="Y2" s="7"/>
      <c r="Z2" s="7"/>
      <c r="AA2" s="7"/>
      <c r="AB2" s="7"/>
      <c r="AC2" s="7"/>
      <c r="AD2" s="7"/>
      <c r="AE2" s="7"/>
      <c r="AF2" s="7"/>
      <c r="AG2" s="7"/>
      <c r="AH2" s="7"/>
      <c r="AI2" s="7"/>
      <c r="AJ2" s="7"/>
      <c r="AK2" s="7"/>
      <c r="AL2" s="7"/>
      <c r="AM2" s="7"/>
      <c r="AN2" s="7"/>
      <c r="AO2" s="7"/>
      <c r="AP2" s="7"/>
      <c r="AQ2" s="7"/>
    </row>
    <row r="3" spans="1:43" ht="20.100000000000001" customHeight="1">
      <c r="A3" s="7"/>
      <c r="B3" s="97"/>
      <c r="C3" s="98"/>
      <c r="D3" s="98"/>
      <c r="E3" s="98"/>
      <c r="F3" s="98"/>
      <c r="G3" s="98"/>
      <c r="H3" s="98"/>
      <c r="I3" s="98"/>
      <c r="J3" s="98"/>
      <c r="K3" s="98"/>
      <c r="L3" s="98"/>
      <c r="M3" s="98"/>
      <c r="N3" s="99"/>
      <c r="O3" s="98"/>
      <c r="P3" s="98"/>
      <c r="Q3" s="99"/>
      <c r="R3" s="98"/>
      <c r="S3" s="98"/>
      <c r="T3" s="98"/>
      <c r="U3" s="100"/>
      <c r="V3" s="53"/>
      <c r="W3" s="7"/>
      <c r="X3" s="7"/>
      <c r="Y3" s="7"/>
      <c r="Z3" s="7"/>
      <c r="AA3" s="7"/>
      <c r="AB3" s="7"/>
      <c r="AC3" s="7"/>
      <c r="AD3" s="7"/>
      <c r="AE3" s="7"/>
      <c r="AF3" s="7"/>
      <c r="AG3" s="7"/>
      <c r="AH3" s="7"/>
      <c r="AI3" s="7"/>
      <c r="AJ3" s="7"/>
      <c r="AK3" s="7"/>
      <c r="AL3" s="7"/>
      <c r="AM3" s="7"/>
      <c r="AN3" s="7"/>
      <c r="AO3" s="7"/>
      <c r="AP3" s="7"/>
      <c r="AQ3" s="7"/>
    </row>
    <row r="4" spans="1:43" ht="20.100000000000001" customHeight="1">
      <c r="A4" s="7"/>
      <c r="B4" s="101"/>
      <c r="C4" s="413" t="s">
        <v>177</v>
      </c>
      <c r="D4" s="412"/>
      <c r="E4" s="412"/>
      <c r="F4" s="412"/>
      <c r="G4" s="53"/>
      <c r="H4" s="413" t="s">
        <v>178</v>
      </c>
      <c r="I4" s="413"/>
      <c r="J4" s="413"/>
      <c r="K4" s="4"/>
      <c r="L4" s="413" t="s">
        <v>108</v>
      </c>
      <c r="M4" s="413"/>
      <c r="N4" s="413"/>
      <c r="O4" s="53"/>
      <c r="P4" s="1913" t="s">
        <v>186</v>
      </c>
      <c r="Q4" s="1913"/>
      <c r="R4" s="1913"/>
      <c r="S4" s="1913"/>
      <c r="T4" s="1913"/>
      <c r="U4" s="102"/>
      <c r="V4" s="53"/>
      <c r="W4" s="7"/>
      <c r="X4" s="7"/>
      <c r="Y4" s="7"/>
      <c r="Z4" s="7"/>
      <c r="AA4" s="7"/>
      <c r="AB4" s="7"/>
      <c r="AC4" s="7"/>
      <c r="AD4" s="7"/>
      <c r="AE4" s="7"/>
      <c r="AF4" s="7"/>
      <c r="AG4" s="7"/>
      <c r="AH4" s="7"/>
      <c r="AI4" s="7"/>
      <c r="AJ4" s="7"/>
      <c r="AK4" s="7"/>
      <c r="AL4" s="7"/>
      <c r="AM4" s="7"/>
      <c r="AN4" s="7"/>
      <c r="AO4" s="7"/>
      <c r="AP4" s="7"/>
      <c r="AQ4" s="7"/>
    </row>
    <row r="5" spans="1:43" ht="20.100000000000001" customHeight="1">
      <c r="A5" s="7"/>
      <c r="B5" s="101"/>
      <c r="C5" s="53"/>
      <c r="D5" s="53"/>
      <c r="E5" s="53"/>
      <c r="F5" s="53"/>
      <c r="G5" s="53"/>
      <c r="H5" s="53"/>
      <c r="I5" s="53"/>
      <c r="J5" s="53"/>
      <c r="K5" s="53"/>
      <c r="L5" s="53"/>
      <c r="M5" s="53"/>
      <c r="N5" s="96"/>
      <c r="O5" s="53"/>
      <c r="P5" s="53"/>
      <c r="Q5" s="53"/>
      <c r="R5" s="53"/>
      <c r="S5" s="32" t="s">
        <v>330</v>
      </c>
      <c r="T5" s="7"/>
      <c r="U5" s="102"/>
      <c r="V5" s="53"/>
      <c r="W5" s="7"/>
      <c r="X5" s="7"/>
      <c r="Y5" s="7"/>
      <c r="Z5" s="7"/>
      <c r="AA5" s="7"/>
      <c r="AB5" s="7"/>
      <c r="AC5" s="7"/>
      <c r="AD5" s="7"/>
      <c r="AE5" s="7"/>
      <c r="AF5" s="7"/>
      <c r="AG5" s="7"/>
      <c r="AH5" s="7"/>
      <c r="AI5" s="7"/>
      <c r="AJ5" s="7"/>
      <c r="AK5" s="7"/>
      <c r="AL5" s="7"/>
      <c r="AM5" s="7"/>
      <c r="AN5" s="7"/>
      <c r="AO5" s="7"/>
      <c r="AP5" s="7"/>
      <c r="AQ5" s="7"/>
    </row>
    <row r="6" spans="1:43" ht="20.100000000000001" customHeight="1">
      <c r="A6" s="7"/>
      <c r="B6" s="101"/>
      <c r="C6" s="103" t="str">
        <f>'   ASK    '!E7</f>
        <v>PLATFORM SIZE (Effective Ha)</v>
      </c>
      <c r="D6" s="103"/>
      <c r="E6" s="103"/>
      <c r="F6" s="105">
        <f>IF('   ASK    '!$E$8="","-",'   ASK    '!$E$8)</f>
        <v>100</v>
      </c>
      <c r="G6" s="53"/>
      <c r="H6" s="93" t="str">
        <f>'   ASK    '!K7</f>
        <v>BREED</v>
      </c>
      <c r="I6" s="94"/>
      <c r="J6" s="105" t="str">
        <f>IF('   ASK    '!$K$8="","-",'   ASK    '!$K$8)</f>
        <v>Friesian</v>
      </c>
      <c r="K6" s="55"/>
      <c r="L6" s="93" t="str">
        <f>'   ASK    '!Q7</f>
        <v>CURRENT TOTAL GRAZABLE AREA (ha)</v>
      </c>
      <c r="M6" s="93"/>
      <c r="N6" s="105">
        <f>IF('   ASK    '!$Q$8="","-",'   ASK    '!$Q$8)</f>
        <v>90</v>
      </c>
      <c r="O6" s="53"/>
      <c r="P6" s="93" t="s">
        <v>129</v>
      </c>
      <c r="Q6" s="1915" t="str">
        <f>IF('   ASK    '!$Y$8="","-",'   ASK    '!$Y$8)</f>
        <v>Hay pasture good</v>
      </c>
      <c r="R6" s="1915"/>
      <c r="S6" s="67">
        <f>IF('   ASK    '!$AA$8="","-",'   ASK    '!$AA$8)</f>
        <v>14</v>
      </c>
      <c r="T6" s="7"/>
      <c r="U6" s="102"/>
      <c r="V6" s="53"/>
      <c r="W6" s="7"/>
      <c r="X6" s="7"/>
      <c r="Y6" s="7"/>
      <c r="Z6" s="7"/>
      <c r="AA6" s="7"/>
      <c r="AB6" s="7"/>
      <c r="AC6" s="7"/>
      <c r="AD6" s="7"/>
      <c r="AE6" s="7"/>
      <c r="AF6" s="7"/>
      <c r="AG6" s="7"/>
      <c r="AH6" s="7"/>
      <c r="AI6" s="7"/>
      <c r="AJ6" s="7"/>
      <c r="AK6" s="7"/>
      <c r="AL6" s="7"/>
      <c r="AM6" s="7"/>
      <c r="AN6" s="7"/>
      <c r="AO6" s="7"/>
      <c r="AP6" s="7"/>
      <c r="AQ6" s="7"/>
    </row>
    <row r="7" spans="1:43" ht="20.100000000000001" customHeight="1">
      <c r="A7" s="7"/>
      <c r="B7" s="101"/>
      <c r="C7" s="54" t="str">
        <f>'   ASK    '!E10</f>
        <v>TERRAIN</v>
      </c>
      <c r="D7" s="54"/>
      <c r="E7" s="54"/>
      <c r="F7" s="32" t="str">
        <f>'   ASK    '!$E$11</f>
        <v>flat</v>
      </c>
      <c r="G7" s="53"/>
      <c r="H7" s="55" t="str">
        <f>'   ASK    '!K10</f>
        <v>AVERAGE LIVEWEIGHT</v>
      </c>
      <c r="I7" s="53"/>
      <c r="J7" s="739">
        <f>'   ASK    '!$K$11</f>
        <v>600</v>
      </c>
      <c r="K7" s="55"/>
      <c r="L7" s="55" t="str">
        <f>'   ASK    '!Q10</f>
        <v>AREA GRAZED/DAY (ha) all mobs</v>
      </c>
      <c r="M7" s="55"/>
      <c r="N7" s="32">
        <f>IF('   ASK    '!$Q$11="","-",'   ASK    '!$Q$11)</f>
        <v>3</v>
      </c>
      <c r="O7" s="53"/>
      <c r="P7" s="55" t="s">
        <v>130</v>
      </c>
      <c r="Q7" s="1916" t="str">
        <f>IF('   ASK    '!$Y$11="","-",'   ASK    '!$Y$11)</f>
        <v>Barley</v>
      </c>
      <c r="R7" s="1916"/>
      <c r="S7" s="69">
        <f>IF('   ASK    '!$AA$11="","-",'   ASK    '!$AA$11)</f>
        <v>10</v>
      </c>
      <c r="T7" s="7"/>
      <c r="U7" s="102"/>
      <c r="V7" s="53"/>
      <c r="W7" s="7"/>
      <c r="X7" s="7"/>
      <c r="Y7" s="7"/>
      <c r="Z7" s="7"/>
      <c r="AA7" s="7"/>
      <c r="AB7" s="7"/>
      <c r="AC7" s="7"/>
      <c r="AD7" s="7"/>
      <c r="AE7" s="7"/>
      <c r="AF7" s="7"/>
      <c r="AG7" s="7"/>
      <c r="AH7" s="7"/>
      <c r="AI7" s="7"/>
      <c r="AJ7" s="7"/>
      <c r="AK7" s="7"/>
      <c r="AL7" s="7"/>
      <c r="AM7" s="7"/>
      <c r="AN7" s="7"/>
      <c r="AO7" s="7"/>
      <c r="AP7" s="7"/>
      <c r="AQ7" s="7"/>
    </row>
    <row r="8" spans="1:43" ht="20.100000000000001" customHeight="1">
      <c r="A8" s="7"/>
      <c r="B8" s="101"/>
      <c r="C8" s="103" t="e">
        <f>'   ASK    '!#REF!</f>
        <v>#REF!</v>
      </c>
      <c r="D8" s="103"/>
      <c r="E8" s="103"/>
      <c r="F8" s="879" t="e">
        <f>IF('   ASK    '!#REF!="","-",'   ASK    '!#REF!)</f>
        <v>#REF!</v>
      </c>
      <c r="G8" s="53"/>
      <c r="H8" s="93" t="str">
        <f>'   ASK    '!K13</f>
        <v>STAGE OF LACTATION</v>
      </c>
      <c r="I8" s="94"/>
      <c r="J8" s="105" t="str">
        <f>IF('   ASK    '!$K$14="","-",'   ASK    '!$K$14)</f>
        <v>Late</v>
      </c>
      <c r="K8" s="55"/>
      <c r="L8" s="93" t="str">
        <f>'   ASK    '!Q13</f>
        <v>AVERAGE PASTURE COVER</v>
      </c>
      <c r="M8" s="93"/>
      <c r="N8" s="105">
        <f>IF('   ASK    '!$Q$14="","-",'   ASK    '!$Q$14)</f>
        <v>2400</v>
      </c>
      <c r="O8" s="53"/>
      <c r="P8" s="93" t="s">
        <v>131</v>
      </c>
      <c r="Q8" s="1915" t="str">
        <f>IF('   ASK    '!$Y$14="","-",'   ASK    '!$Y$14)</f>
        <v>Chicory</v>
      </c>
      <c r="R8" s="1915"/>
      <c r="S8" s="67">
        <f>IF('   ASK    '!$AA$14="","-",'   ASK    '!$AA$14)</f>
        <v>20</v>
      </c>
      <c r="T8" s="7"/>
      <c r="U8" s="102"/>
      <c r="V8" s="53"/>
      <c r="W8" s="7"/>
      <c r="X8" s="7"/>
      <c r="Y8" s="7"/>
      <c r="Z8" s="7"/>
      <c r="AA8" s="7"/>
      <c r="AB8" s="7"/>
      <c r="AC8" s="7"/>
      <c r="AD8" s="7"/>
      <c r="AE8" s="7"/>
      <c r="AF8" s="7"/>
      <c r="AG8" s="7"/>
      <c r="AH8" s="7"/>
      <c r="AI8" s="7"/>
      <c r="AJ8" s="7"/>
      <c r="AK8" s="7"/>
      <c r="AL8" s="7"/>
      <c r="AM8" s="7"/>
      <c r="AN8" s="7"/>
      <c r="AO8" s="7"/>
      <c r="AP8" s="7"/>
      <c r="AQ8" s="7"/>
    </row>
    <row r="9" spans="1:43" ht="20.100000000000001" customHeight="1">
      <c r="A9" s="7"/>
      <c r="B9" s="101"/>
      <c r="C9" s="54" t="str">
        <f>'   ASK    '!E13</f>
        <v>PLANNED START OF CALVING (PSC)</v>
      </c>
      <c r="D9" s="54"/>
      <c r="E9" s="54"/>
      <c r="F9" s="735">
        <f>IF('   ASK    '!$E$14="","-",'   ASK    '!$E$14)</f>
        <v>42917</v>
      </c>
      <c r="G9" s="53"/>
      <c r="H9" s="55" t="str">
        <f>'   ASK    '!K16</f>
        <v>TOTAL COWS (at peak)</v>
      </c>
      <c r="I9" s="53"/>
      <c r="J9" s="739">
        <f>IF('   ASK    '!$K$17="","-",'   ASK    '!$K$17)</f>
        <v>330</v>
      </c>
      <c r="K9" s="55"/>
      <c r="L9" s="55" t="s">
        <v>154</v>
      </c>
      <c r="M9" s="55"/>
      <c r="N9" s="69" t="str">
        <f>IF('ASSESS &amp; COMPARE'!Z27="","-",'ASSESS &amp; COMPARE'!Z27)</f>
        <v>-</v>
      </c>
      <c r="O9" s="53"/>
      <c r="P9" s="55" t="s">
        <v>132</v>
      </c>
      <c r="Q9" s="1916" t="str">
        <f>IF('   ASK    '!$Y$17="","-",'   ASK    '!$Y$17)</f>
        <v>PKE</v>
      </c>
      <c r="R9" s="1916"/>
      <c r="S9" s="69">
        <f>IF('   ASK    '!$AA$17="","-",'   ASK    '!$AA$17)</f>
        <v>5</v>
      </c>
      <c r="T9" s="7"/>
      <c r="U9" s="102"/>
      <c r="V9" s="53"/>
      <c r="W9" s="7"/>
      <c r="X9" s="7"/>
      <c r="Y9" s="7"/>
      <c r="Z9" s="7"/>
      <c r="AA9" s="7"/>
      <c r="AB9" s="7"/>
      <c r="AC9" s="7"/>
      <c r="AD9" s="7"/>
      <c r="AE9" s="7"/>
      <c r="AF9" s="7"/>
      <c r="AG9" s="7"/>
      <c r="AH9" s="7"/>
      <c r="AI9" s="7"/>
      <c r="AJ9" s="7"/>
      <c r="AK9" s="7"/>
      <c r="AL9" s="7"/>
      <c r="AM9" s="7"/>
      <c r="AN9" s="7"/>
      <c r="AO9" s="7"/>
      <c r="AP9" s="7"/>
      <c r="AQ9" s="7"/>
    </row>
    <row r="10" spans="1:43" ht="20.100000000000001" customHeight="1">
      <c r="A10" s="7"/>
      <c r="B10" s="101"/>
      <c r="C10" s="94"/>
      <c r="D10" s="94"/>
      <c r="E10" s="94"/>
      <c r="F10" s="94"/>
      <c r="G10" s="53"/>
      <c r="H10" s="93" t="str">
        <f>'   ASK    '!K19</f>
        <v>COWS ON FARM NOW</v>
      </c>
      <c r="I10" s="94"/>
      <c r="J10" s="105">
        <f>IF('   ASK    '!$K$20="","-",'   ASK    '!$K$20)</f>
        <v>280</v>
      </c>
      <c r="K10" s="55"/>
      <c r="L10" s="94"/>
      <c r="M10" s="94"/>
      <c r="N10" s="95"/>
      <c r="O10" s="53"/>
      <c r="P10" s="93" t="s">
        <v>133</v>
      </c>
      <c r="Q10" s="1915" t="str">
        <f>IF('   ASK    '!$Y$20="","-",'   ASK    '!$Y$20)</f>
        <v>CaCO3, %DM</v>
      </c>
      <c r="R10" s="1915"/>
      <c r="S10" s="67">
        <f>IF('   ASK    '!$AA$20="","-",'   ASK    '!$AA$20)</f>
        <v>0.2</v>
      </c>
      <c r="T10" s="7"/>
      <c r="U10" s="102"/>
      <c r="V10" s="53"/>
      <c r="W10" s="7"/>
      <c r="X10" s="7"/>
      <c r="Y10" s="7"/>
      <c r="Z10" s="7"/>
      <c r="AA10" s="7"/>
      <c r="AB10" s="7"/>
      <c r="AC10" s="7"/>
      <c r="AD10" s="7"/>
      <c r="AE10" s="7"/>
      <c r="AF10" s="7"/>
      <c r="AG10" s="7"/>
      <c r="AH10" s="7"/>
      <c r="AI10" s="7"/>
      <c r="AJ10" s="7"/>
      <c r="AK10" s="7"/>
      <c r="AL10" s="7"/>
      <c r="AM10" s="7"/>
      <c r="AN10" s="7"/>
      <c r="AO10" s="7"/>
      <c r="AP10" s="7"/>
      <c r="AQ10" s="7"/>
    </row>
    <row r="11" spans="1:43" ht="20.100000000000001" customHeight="1">
      <c r="A11" s="7"/>
      <c r="B11" s="101"/>
      <c r="C11" s="53"/>
      <c r="D11" s="53"/>
      <c r="E11" s="53"/>
      <c r="F11" s="53"/>
      <c r="G11" s="53"/>
      <c r="H11" s="55" t="str">
        <f>'   ASK    '!K22</f>
        <v>BCS (herd avg)</v>
      </c>
      <c r="I11" s="53"/>
      <c r="J11" s="32">
        <f>IF('   ASK    '!$K$23="","-",'   ASK    '!$K$23)</f>
        <v>4</v>
      </c>
      <c r="K11" s="55"/>
      <c r="L11" s="53"/>
      <c r="M11" s="53"/>
      <c r="N11" s="96"/>
      <c r="O11" s="53"/>
      <c r="P11" s="55" t="s">
        <v>134</v>
      </c>
      <c r="Q11" s="1916" t="str">
        <f>IF('   ASK    '!$Y$23="","-",'   ASK    '!$Y$23)</f>
        <v>Maize grain</v>
      </c>
      <c r="R11" s="1916"/>
      <c r="S11" s="69">
        <f>IF('   ASK    '!$AA$23="","-",'   ASK    '!$AA$23)</f>
        <v>8</v>
      </c>
      <c r="T11" s="7"/>
      <c r="U11" s="102"/>
      <c r="V11" s="53"/>
      <c r="W11" s="7"/>
      <c r="X11" s="7"/>
      <c r="Y11" s="7"/>
      <c r="Z11" s="7"/>
      <c r="AA11" s="7"/>
      <c r="AB11" s="7"/>
      <c r="AC11" s="7"/>
      <c r="AD11" s="7"/>
      <c r="AE11" s="7"/>
      <c r="AF11" s="7"/>
      <c r="AG11" s="7"/>
      <c r="AH11" s="7"/>
      <c r="AI11" s="7"/>
      <c r="AJ11" s="7"/>
      <c r="AK11" s="7"/>
      <c r="AL11" s="7"/>
      <c r="AM11" s="7"/>
      <c r="AN11" s="7"/>
      <c r="AO11" s="7"/>
      <c r="AP11" s="7"/>
      <c r="AQ11" s="7"/>
    </row>
    <row r="12" spans="1:43" ht="20.100000000000001" customHeight="1">
      <c r="A12" s="7"/>
      <c r="B12" s="101"/>
      <c r="C12" s="94"/>
      <c r="D12" s="94"/>
      <c r="E12" s="94"/>
      <c r="F12" s="94"/>
      <c r="G12" s="53"/>
      <c r="H12" s="94"/>
      <c r="I12" s="94"/>
      <c r="J12" s="94"/>
      <c r="K12" s="55"/>
      <c r="L12" s="94"/>
      <c r="M12" s="94"/>
      <c r="N12" s="95"/>
      <c r="O12" s="53"/>
      <c r="P12" s="104" t="s">
        <v>135</v>
      </c>
      <c r="Q12" s="94"/>
      <c r="R12" s="94"/>
      <c r="S12" s="105" t="str">
        <f>IF('   ASK    '!$AA$26="","-",'   ASK    '!$AA$26)</f>
        <v>NO</v>
      </c>
      <c r="T12" s="7"/>
      <c r="U12" s="102"/>
      <c r="V12" s="53"/>
      <c r="W12" s="7"/>
      <c r="X12" s="7"/>
      <c r="Y12" s="7"/>
      <c r="Z12" s="7"/>
      <c r="AA12" s="7"/>
      <c r="AB12" s="7"/>
      <c r="AC12" s="7"/>
      <c r="AD12" s="7"/>
      <c r="AE12" s="7"/>
      <c r="AF12" s="7"/>
      <c r="AG12" s="7"/>
      <c r="AH12" s="7"/>
      <c r="AI12" s="7"/>
      <c r="AJ12" s="7"/>
      <c r="AK12" s="7"/>
      <c r="AL12" s="7"/>
      <c r="AM12" s="7"/>
      <c r="AN12" s="7"/>
      <c r="AO12" s="7"/>
      <c r="AP12" s="7"/>
      <c r="AQ12" s="7"/>
    </row>
    <row r="13" spans="1:43" ht="20.100000000000001" customHeight="1">
      <c r="A13" s="7"/>
      <c r="B13" s="101"/>
      <c r="C13" s="55" t="s">
        <v>163</v>
      </c>
      <c r="D13" s="53"/>
      <c r="E13" s="53"/>
      <c r="F13" s="53"/>
      <c r="G13" s="53"/>
      <c r="H13" s="53"/>
      <c r="I13" s="53"/>
      <c r="J13" s="53"/>
      <c r="K13" s="55"/>
      <c r="L13" s="53"/>
      <c r="M13" s="55"/>
      <c r="N13" s="96"/>
      <c r="O13" s="53"/>
      <c r="P13" s="53"/>
      <c r="Q13" s="96"/>
      <c r="R13" s="53"/>
      <c r="S13" s="53"/>
      <c r="T13" s="32"/>
      <c r="U13" s="102"/>
      <c r="V13" s="53"/>
      <c r="W13" s="7"/>
      <c r="X13" s="7"/>
      <c r="Y13" s="7"/>
      <c r="Z13" s="7"/>
      <c r="AA13" s="7"/>
      <c r="AB13" s="7"/>
      <c r="AC13" s="7"/>
      <c r="AD13" s="7"/>
      <c r="AE13" s="7"/>
      <c r="AF13" s="7"/>
      <c r="AG13" s="7"/>
      <c r="AH13" s="7"/>
      <c r="AI13" s="7"/>
      <c r="AJ13" s="7"/>
      <c r="AK13" s="7"/>
      <c r="AL13" s="7"/>
      <c r="AM13" s="7"/>
      <c r="AN13" s="7"/>
      <c r="AO13" s="7"/>
      <c r="AP13" s="7"/>
      <c r="AQ13" s="7"/>
    </row>
    <row r="14" spans="1:43" ht="20.100000000000001" customHeight="1">
      <c r="A14" s="7"/>
      <c r="B14" s="101"/>
      <c r="C14" s="201" t="str">
        <f>'   ASK    '!K33</f>
        <v>Stocking rate at peak (cows/ha)</v>
      </c>
      <c r="D14" s="201"/>
      <c r="E14" s="199"/>
      <c r="F14" s="584">
        <f>'   ASK    '!M33</f>
        <v>3.3</v>
      </c>
      <c r="G14" s="201"/>
      <c r="H14" s="414" t="str">
        <f>'   ASK    '!K34</f>
        <v>kg LWT/ha</v>
      </c>
      <c r="I14" s="199"/>
      <c r="J14" s="585">
        <f>'   ASK    '!M34</f>
        <v>1980</v>
      </c>
      <c r="K14" s="199"/>
      <c r="L14" s="414" t="str">
        <f>'   ASK    '!Q34</f>
        <v>Weeks until PSC</v>
      </c>
      <c r="M14" s="586">
        <f ca="1">'   ASK    '!S34</f>
        <v>-353.57142857142856</v>
      </c>
      <c r="N14" s="199"/>
      <c r="O14" s="199"/>
      <c r="P14" s="199"/>
      <c r="Q14" s="415"/>
      <c r="R14" s="199"/>
      <c r="S14" s="199"/>
      <c r="T14" s="199"/>
      <c r="U14" s="102"/>
      <c r="V14" s="53"/>
      <c r="W14" s="7"/>
      <c r="X14" s="7"/>
      <c r="Y14" s="7"/>
      <c r="Z14" s="7"/>
      <c r="AA14" s="7"/>
      <c r="AB14" s="7"/>
      <c r="AC14" s="7"/>
      <c r="AD14" s="7"/>
      <c r="AE14" s="7"/>
      <c r="AF14" s="7"/>
      <c r="AG14" s="7"/>
      <c r="AH14" s="7"/>
      <c r="AI14" s="7"/>
      <c r="AJ14" s="7"/>
      <c r="AK14" s="7"/>
      <c r="AL14" s="7"/>
      <c r="AM14" s="7"/>
      <c r="AN14" s="7"/>
      <c r="AO14" s="7"/>
      <c r="AP14" s="7"/>
      <c r="AQ14" s="7"/>
    </row>
    <row r="15" spans="1:43" ht="20.100000000000001" customHeight="1">
      <c r="A15" s="7"/>
      <c r="B15" s="101"/>
      <c r="C15" s="201" t="str">
        <f>'   ASK    '!Q33</f>
        <v>Rotation length</v>
      </c>
      <c r="D15" s="201"/>
      <c r="E15" s="199"/>
      <c r="F15" s="585">
        <f>'   ASK    '!S33</f>
        <v>30</v>
      </c>
      <c r="G15" s="201"/>
      <c r="H15" s="201" t="e">
        <f>'   ASK    '!#REF!</f>
        <v>#REF!</v>
      </c>
      <c r="I15" s="199"/>
      <c r="J15" s="585" t="e">
        <f>'   ASK    '!#REF!</f>
        <v>#REF!</v>
      </c>
      <c r="K15" s="199"/>
      <c r="L15" s="199"/>
      <c r="M15" s="414"/>
      <c r="N15" s="415"/>
      <c r="O15" s="199"/>
      <c r="P15" s="199"/>
      <c r="Q15" s="415"/>
      <c r="R15" s="199"/>
      <c r="S15" s="199"/>
      <c r="T15" s="199"/>
      <c r="U15" s="102"/>
      <c r="V15" s="53"/>
      <c r="W15" s="7"/>
      <c r="X15" s="7"/>
      <c r="Y15" s="7"/>
      <c r="Z15" s="7"/>
      <c r="AA15" s="7"/>
      <c r="AB15" s="7"/>
      <c r="AC15" s="7"/>
      <c r="AD15" s="7"/>
      <c r="AE15" s="7"/>
      <c r="AF15" s="7"/>
      <c r="AG15" s="7"/>
      <c r="AH15" s="7"/>
      <c r="AI15" s="7"/>
      <c r="AJ15" s="7"/>
      <c r="AK15" s="7"/>
      <c r="AL15" s="7"/>
      <c r="AM15" s="7"/>
      <c r="AN15" s="7"/>
      <c r="AO15" s="7"/>
      <c r="AP15" s="7"/>
      <c r="AQ15" s="7"/>
    </row>
    <row r="16" spans="1:43" ht="20.100000000000001" customHeight="1">
      <c r="A16" s="7"/>
      <c r="B16" s="106"/>
      <c r="C16" s="107"/>
      <c r="D16" s="107"/>
      <c r="E16" s="107"/>
      <c r="F16" s="108"/>
      <c r="G16" s="107"/>
      <c r="H16" s="107"/>
      <c r="I16" s="107"/>
      <c r="J16" s="107"/>
      <c r="K16" s="107"/>
      <c r="L16" s="107"/>
      <c r="M16" s="107"/>
      <c r="N16" s="108"/>
      <c r="O16" s="107"/>
      <c r="P16" s="107"/>
      <c r="Q16" s="108"/>
      <c r="R16" s="107"/>
      <c r="S16" s="107"/>
      <c r="T16" s="107"/>
      <c r="U16" s="109"/>
      <c r="V16" s="53"/>
      <c r="W16" s="7"/>
      <c r="X16" s="7"/>
      <c r="Y16" s="7"/>
      <c r="Z16" s="7"/>
      <c r="AA16" s="7"/>
      <c r="AB16" s="7"/>
      <c r="AC16" s="7"/>
      <c r="AD16" s="7"/>
      <c r="AE16" s="7"/>
      <c r="AF16" s="7"/>
      <c r="AG16" s="7"/>
      <c r="AH16" s="7"/>
      <c r="AI16" s="7"/>
      <c r="AJ16" s="7"/>
      <c r="AK16" s="7"/>
      <c r="AL16" s="7"/>
      <c r="AM16" s="7"/>
      <c r="AN16" s="7"/>
      <c r="AO16" s="7"/>
      <c r="AP16" s="7"/>
      <c r="AQ16" s="7"/>
    </row>
    <row r="17" spans="1:43" ht="9" customHeight="1">
      <c r="A17" s="7"/>
      <c r="B17" s="53"/>
      <c r="C17" s="53"/>
      <c r="D17" s="53"/>
      <c r="E17" s="53"/>
      <c r="F17" s="53"/>
      <c r="G17" s="53"/>
      <c r="H17" s="53"/>
      <c r="I17" s="53"/>
      <c r="J17" s="53"/>
      <c r="K17" s="53"/>
      <c r="L17" s="53"/>
      <c r="M17" s="53"/>
      <c r="N17" s="96"/>
      <c r="O17" s="53"/>
      <c r="P17" s="53"/>
      <c r="Q17" s="96"/>
      <c r="R17" s="53"/>
      <c r="S17" s="53"/>
      <c r="T17" s="53"/>
      <c r="U17" s="53"/>
      <c r="V17" s="53"/>
      <c r="W17" s="7"/>
      <c r="X17" s="7"/>
      <c r="Y17" s="7"/>
      <c r="Z17" s="7"/>
      <c r="AA17" s="7"/>
      <c r="AB17" s="7"/>
      <c r="AC17" s="7"/>
      <c r="AD17" s="7"/>
      <c r="AE17" s="7"/>
      <c r="AF17" s="7"/>
      <c r="AG17" s="7"/>
      <c r="AH17" s="7"/>
      <c r="AI17" s="7"/>
      <c r="AJ17" s="7"/>
      <c r="AK17" s="7"/>
      <c r="AL17" s="7"/>
      <c r="AM17" s="7"/>
      <c r="AN17" s="7"/>
      <c r="AO17" s="7"/>
      <c r="AP17" s="7"/>
      <c r="AQ17" s="7"/>
    </row>
    <row r="18" spans="1:43" ht="33.6">
      <c r="A18" s="7"/>
      <c r="B18" s="45" t="s">
        <v>181</v>
      </c>
      <c r="C18" s="43"/>
      <c r="D18" s="43"/>
      <c r="E18" s="43"/>
      <c r="F18" s="43"/>
      <c r="G18" s="43"/>
      <c r="H18" s="43"/>
      <c r="I18" s="43"/>
      <c r="J18" s="43"/>
      <c r="K18" s="33"/>
      <c r="L18" s="53"/>
      <c r="M18" s="53"/>
      <c r="N18" s="96"/>
      <c r="O18" s="53"/>
      <c r="P18" s="53"/>
      <c r="Q18" s="96"/>
      <c r="R18" s="53"/>
      <c r="S18" s="53"/>
      <c r="T18" s="53"/>
      <c r="U18" s="53"/>
      <c r="V18" s="53"/>
      <c r="W18" s="7"/>
      <c r="X18" s="7"/>
      <c r="Y18" s="7"/>
      <c r="Z18" s="7"/>
      <c r="AA18" s="7"/>
      <c r="AB18" s="7"/>
      <c r="AC18" s="7"/>
      <c r="AD18" s="7"/>
      <c r="AE18" s="7"/>
      <c r="AF18" s="7"/>
      <c r="AG18" s="7"/>
      <c r="AH18" s="7"/>
      <c r="AI18" s="7"/>
      <c r="AJ18" s="7"/>
      <c r="AK18" s="7"/>
      <c r="AL18" s="7"/>
      <c r="AM18" s="7"/>
      <c r="AN18" s="7"/>
      <c r="AO18" s="7"/>
      <c r="AP18" s="7"/>
      <c r="AQ18" s="7"/>
    </row>
    <row r="19" spans="1:43" ht="20.100000000000001" customHeight="1">
      <c r="A19" s="7"/>
      <c r="B19" s="97"/>
      <c r="C19" s="98"/>
      <c r="D19" s="98"/>
      <c r="E19" s="98"/>
      <c r="F19" s="98"/>
      <c r="G19" s="98"/>
      <c r="H19" s="98"/>
      <c r="I19" s="98"/>
      <c r="J19" s="98"/>
      <c r="K19" s="98"/>
      <c r="L19" s="98"/>
      <c r="M19" s="98"/>
      <c r="N19" s="99"/>
      <c r="O19" s="98"/>
      <c r="P19" s="98"/>
      <c r="Q19" s="99"/>
      <c r="R19" s="98"/>
      <c r="S19" s="98"/>
      <c r="T19" s="98"/>
      <c r="U19" s="100"/>
      <c r="V19" s="53"/>
      <c r="W19" s="7"/>
      <c r="X19" s="7"/>
      <c r="Y19" s="7"/>
      <c r="Z19" s="7"/>
      <c r="AA19" s="7"/>
      <c r="AB19" s="7"/>
      <c r="AC19" s="7"/>
      <c r="AD19" s="7"/>
      <c r="AE19" s="7"/>
      <c r="AF19" s="7"/>
      <c r="AG19" s="7"/>
      <c r="AH19" s="7"/>
      <c r="AI19" s="7"/>
      <c r="AJ19" s="7"/>
      <c r="AK19" s="7"/>
      <c r="AL19" s="7"/>
      <c r="AM19" s="7"/>
      <c r="AN19" s="7"/>
      <c r="AO19" s="7"/>
      <c r="AP19" s="7"/>
      <c r="AQ19" s="7"/>
    </row>
    <row r="20" spans="1:43" ht="21.75" customHeight="1">
      <c r="A20" s="7"/>
      <c r="B20" s="101"/>
      <c r="C20" s="413" t="s">
        <v>178</v>
      </c>
      <c r="D20" s="412"/>
      <c r="E20" s="412"/>
      <c r="F20" s="875" t="s">
        <v>325</v>
      </c>
      <c r="G20" s="737"/>
      <c r="H20" s="738"/>
      <c r="I20" s="413" t="s">
        <v>199</v>
      </c>
      <c r="J20" s="412"/>
      <c r="K20" s="412"/>
      <c r="L20" s="412"/>
      <c r="M20" s="412"/>
      <c r="N20" s="1914" t="s">
        <v>201</v>
      </c>
      <c r="O20" s="1914"/>
      <c r="P20" s="1912" t="s">
        <v>202</v>
      </c>
      <c r="Q20" s="1912"/>
      <c r="R20" s="7"/>
      <c r="S20" s="7"/>
      <c r="T20" s="7"/>
      <c r="U20" s="102"/>
      <c r="V20" s="53"/>
      <c r="W20" s="7"/>
      <c r="X20" s="7"/>
      <c r="Y20" s="7"/>
      <c r="Z20" s="7"/>
      <c r="AA20" s="7"/>
      <c r="AB20" s="7"/>
      <c r="AC20" s="7"/>
      <c r="AD20" s="7"/>
      <c r="AE20" s="7"/>
      <c r="AF20" s="7"/>
      <c r="AG20" s="7"/>
      <c r="AH20" s="7"/>
      <c r="AI20" s="7"/>
      <c r="AJ20" s="7"/>
      <c r="AK20" s="7"/>
      <c r="AL20" s="7"/>
      <c r="AM20" s="7"/>
      <c r="AN20" s="7"/>
      <c r="AO20" s="7"/>
      <c r="AP20" s="7"/>
      <c r="AQ20" s="7"/>
    </row>
    <row r="21" spans="1:43" ht="20.100000000000001" customHeight="1">
      <c r="A21" s="7"/>
      <c r="B21" s="101"/>
      <c r="C21" s="53"/>
      <c r="D21" s="53"/>
      <c r="E21" s="53"/>
      <c r="F21" s="32"/>
      <c r="G21" s="53"/>
      <c r="H21" s="32"/>
      <c r="I21" s="53"/>
      <c r="J21" s="53"/>
      <c r="K21" s="7"/>
      <c r="L21" s="54" t="s">
        <v>109</v>
      </c>
      <c r="M21" s="96"/>
      <c r="N21" s="27" t="s">
        <v>326</v>
      </c>
      <c r="O21" s="27" t="s">
        <v>327</v>
      </c>
      <c r="P21" s="27" t="s">
        <v>326</v>
      </c>
      <c r="Q21" s="27" t="s">
        <v>327</v>
      </c>
      <c r="R21" s="7"/>
      <c r="S21" s="7"/>
      <c r="T21" s="7"/>
      <c r="U21" s="102"/>
      <c r="V21" s="53"/>
      <c r="W21" s="7"/>
      <c r="X21" s="7"/>
      <c r="Y21" s="7"/>
      <c r="Z21" s="7"/>
      <c r="AA21" s="7"/>
      <c r="AB21" s="7"/>
      <c r="AC21" s="7"/>
      <c r="AD21" s="7"/>
      <c r="AE21" s="7"/>
      <c r="AF21" s="7"/>
      <c r="AG21" s="7"/>
      <c r="AH21" s="7"/>
      <c r="AI21" s="7"/>
      <c r="AJ21" s="7"/>
      <c r="AK21" s="7"/>
      <c r="AL21" s="7"/>
      <c r="AM21" s="7"/>
      <c r="AN21" s="7"/>
      <c r="AO21" s="7"/>
      <c r="AP21" s="7"/>
      <c r="AQ21" s="7"/>
    </row>
    <row r="22" spans="1:43" ht="20.100000000000001" customHeight="1">
      <c r="A22" s="7"/>
      <c r="B22" s="101"/>
      <c r="C22" s="736" t="str">
        <f>'ASSESS &amp; COMPARE'!C7</f>
        <v>Stage of lactation</v>
      </c>
      <c r="D22" s="94"/>
      <c r="E22" s="94"/>
      <c r="F22" s="32" t="str">
        <f>IF('ASSESS &amp; COMPARE'!G7="","-",'ASSESS &amp; COMPARE'!G7)</f>
        <v>Late</v>
      </c>
      <c r="G22" s="53"/>
      <c r="H22" s="32"/>
      <c r="I22" s="883" t="str">
        <f>IF('ASSESS &amp; COMPARE'!E27="","-",'ASSESS &amp; COMPARE'!E27)</f>
        <v>Pasture autumn and winter</v>
      </c>
      <c r="J22" s="883"/>
      <c r="K22" s="883"/>
      <c r="L22" s="876" t="str">
        <f>IF('ASSESS &amp; COMPARE'!G27="","-",'ASSESS &amp; COMPARE'!G27)</f>
        <v>-</v>
      </c>
      <c r="M22" s="876"/>
      <c r="N22" s="884">
        <f>IF('ASSESS &amp; COMPARE'!J27="","-",'ASSESS &amp; COMPARE'!J27)</f>
        <v>12</v>
      </c>
      <c r="O22" s="884">
        <f>IF($N$22="-","-",($F$23*$N$22)/1000)</f>
        <v>1.8</v>
      </c>
      <c r="P22" s="741" t="str">
        <f>IF('ASSESS &amp; COMPARE'!L28="","-",'ASSESS &amp; COMPARE'!L28)</f>
        <v>-</v>
      </c>
      <c r="Q22" s="741" t="str">
        <f>IF($P$22="-","-",($F$23*$P$22)/1000)</f>
        <v>-</v>
      </c>
      <c r="R22" s="7"/>
      <c r="S22" s="7"/>
      <c r="T22" s="7"/>
      <c r="U22" s="102"/>
      <c r="V22" s="53"/>
      <c r="W22" s="7"/>
      <c r="X22" s="7"/>
      <c r="Y22" s="7"/>
      <c r="Z22" s="7"/>
      <c r="AA22" s="7"/>
      <c r="AB22" s="7"/>
      <c r="AC22" s="7"/>
      <c r="AD22" s="7"/>
      <c r="AE22" s="7"/>
      <c r="AF22" s="7"/>
      <c r="AG22" s="7"/>
      <c r="AH22" s="7"/>
      <c r="AI22" s="7"/>
      <c r="AJ22" s="7"/>
      <c r="AK22" s="7"/>
      <c r="AL22" s="7"/>
      <c r="AM22" s="7"/>
      <c r="AN22" s="7"/>
      <c r="AO22" s="7"/>
      <c r="AP22" s="7"/>
      <c r="AQ22" s="7"/>
    </row>
    <row r="23" spans="1:43" ht="20.100000000000001" customHeight="1">
      <c r="A23" s="7"/>
      <c r="B23" s="101"/>
      <c r="C23" s="55" t="str">
        <f>'ASSESS &amp; COMPARE'!I6</f>
        <v>Cows in mob</v>
      </c>
      <c r="D23" s="53"/>
      <c r="E23" s="53"/>
      <c r="F23" s="32">
        <f>IF('ASSESS &amp; COMPARE'!O6="","-",'ASSESS &amp; COMPARE'!O6)</f>
        <v>150</v>
      </c>
      <c r="G23" s="53"/>
      <c r="H23" s="32"/>
      <c r="I23" s="1911" t="str">
        <f>IF('ASSESS &amp; COMPARE'!E30="","-",'ASSESS &amp; COMPARE'!E30)</f>
        <v>Hay pasture good</v>
      </c>
      <c r="J23" s="1911"/>
      <c r="K23" s="1911"/>
      <c r="L23" s="53" t="str">
        <f>IF('ASSESS &amp; COMPARE'!G30="","-",'ASSESS &amp; COMPARE'!G30)</f>
        <v>-</v>
      </c>
      <c r="M23" s="96"/>
      <c r="N23" s="69" t="str">
        <f>IF('ASSESS &amp; COMPARE'!J30="","-",'ASSESS &amp; COMPARE'!J30)</f>
        <v>-</v>
      </c>
      <c r="O23" s="69" t="str">
        <f>IF($N$23="-","-",($F$23*$N$23)/1000)</f>
        <v>-</v>
      </c>
      <c r="P23" s="67" t="str">
        <f>IF('ASSESS &amp; COMPARE'!L31="","-",'ASSESS &amp; COMPARE'!L31)</f>
        <v>-</v>
      </c>
      <c r="Q23" s="67" t="str">
        <f>IF($P$23="-","-",($F$23*$P$23)/1000)</f>
        <v>-</v>
      </c>
      <c r="R23" s="7"/>
      <c r="S23" s="7"/>
      <c r="T23" s="7"/>
      <c r="U23" s="102"/>
      <c r="V23" s="53"/>
      <c r="W23" s="7"/>
      <c r="X23" s="7"/>
      <c r="Y23" s="7"/>
      <c r="Z23" s="7"/>
      <c r="AA23" s="7"/>
      <c r="AB23" s="7"/>
      <c r="AC23" s="7"/>
      <c r="AD23" s="7"/>
      <c r="AE23" s="7"/>
      <c r="AF23" s="7"/>
      <c r="AG23" s="7"/>
      <c r="AH23" s="7"/>
      <c r="AI23" s="7"/>
      <c r="AJ23" s="7"/>
      <c r="AK23" s="7"/>
      <c r="AL23" s="7"/>
      <c r="AM23" s="7"/>
      <c r="AN23" s="7"/>
      <c r="AO23" s="7"/>
      <c r="AP23" s="7"/>
      <c r="AQ23" s="7"/>
    </row>
    <row r="24" spans="1:43" ht="20.100000000000001" customHeight="1">
      <c r="A24" s="7"/>
      <c r="B24" s="101"/>
      <c r="C24" s="93" t="str">
        <f>'ASSESS &amp; COMPARE'!I7</f>
        <v>Milk solids (kg MS/cow/day)</v>
      </c>
      <c r="D24" s="94"/>
      <c r="E24" s="94"/>
      <c r="F24" s="32">
        <f>IF('ASSESS &amp; COMPARE'!O7="","-",'ASSESS &amp; COMPARE'!O7)</f>
        <v>1.1000000000000001</v>
      </c>
      <c r="G24" s="53"/>
      <c r="H24" s="32"/>
      <c r="I24" s="93" t="str">
        <f>IF('ASSESS &amp; COMPARE'!E33="","-",'ASSESS &amp; COMPARE'!E33)</f>
        <v>Barley</v>
      </c>
      <c r="J24" s="93"/>
      <c r="K24" s="93"/>
      <c r="L24" s="94" t="str">
        <f>IF('ASSESS &amp; COMPARE'!G33="","-",'ASSESS &amp; COMPARE'!G33)</f>
        <v>-</v>
      </c>
      <c r="M24" s="95"/>
      <c r="N24" s="67" t="str">
        <f>IF('ASSESS &amp; COMPARE'!J33="","-",'ASSESS &amp; COMPARE'!J33)</f>
        <v>-</v>
      </c>
      <c r="O24" s="67" t="str">
        <f>IF($N$24="-","-",($F$23*$N$24)/1000)</f>
        <v>-</v>
      </c>
      <c r="P24" s="741" t="str">
        <f>IF('ASSESS &amp; COMPARE'!L34="","-",'ASSESS &amp; COMPARE'!L34)</f>
        <v>-</v>
      </c>
      <c r="Q24" s="741" t="str">
        <f>IF($P$24="-","-",($F$23*$P$24)/1000)</f>
        <v>-</v>
      </c>
      <c r="R24" s="7"/>
      <c r="S24" s="7"/>
      <c r="T24" s="7"/>
      <c r="U24" s="102"/>
      <c r="V24" s="53"/>
      <c r="W24" s="7"/>
      <c r="X24" s="7"/>
      <c r="Y24" s="7"/>
      <c r="Z24" s="7"/>
      <c r="AA24" s="7"/>
      <c r="AB24" s="7"/>
      <c r="AC24" s="7"/>
      <c r="AD24" s="7"/>
      <c r="AE24" s="7"/>
      <c r="AF24" s="7"/>
      <c r="AG24" s="7"/>
      <c r="AH24" s="7"/>
      <c r="AI24" s="7"/>
      <c r="AJ24" s="7"/>
      <c r="AK24" s="7"/>
      <c r="AL24" s="7"/>
      <c r="AM24" s="7"/>
      <c r="AN24" s="7"/>
      <c r="AO24" s="7"/>
      <c r="AP24" s="7"/>
      <c r="AQ24" s="7"/>
    </row>
    <row r="25" spans="1:43" ht="20.100000000000001" customHeight="1">
      <c r="A25" s="7"/>
      <c r="B25" s="101"/>
      <c r="C25" s="55" t="str">
        <f>'ASSESS &amp; COMPARE'!C9</f>
        <v>Estimated  BCS loss/gain next month</v>
      </c>
      <c r="D25" s="53"/>
      <c r="E25" s="53"/>
      <c r="F25" s="32">
        <f>IF('ASSESS &amp; COMPARE'!G9="","-",'ASSESS &amp; COMPARE'!G9)</f>
        <v>-0.1</v>
      </c>
      <c r="G25" s="53"/>
      <c r="H25" s="32"/>
      <c r="I25" s="55" t="str">
        <f>IF('ASSESS &amp; COMPARE'!E36="","-",'ASSESS &amp; COMPARE'!E36)</f>
        <v>Chicory</v>
      </c>
      <c r="J25" s="55"/>
      <c r="K25" s="885"/>
      <c r="L25" s="53" t="str">
        <f>IF('ASSESS &amp; COMPARE'!G36="","-",'ASSESS &amp; COMPARE'!G36)</f>
        <v>-</v>
      </c>
      <c r="M25" s="96"/>
      <c r="N25" s="69" t="str">
        <f>IF('ASSESS &amp; COMPARE'!J36="","-",'ASSESS &amp; COMPARE'!J36)</f>
        <v>-</v>
      </c>
      <c r="O25" s="69" t="str">
        <f>IF($N$25="-","-",($F$23*$N$25)/1000)</f>
        <v>-</v>
      </c>
      <c r="P25" s="67" t="str">
        <f>IF('ASSESS &amp; COMPARE'!L37="","-",'ASSESS &amp; COMPARE'!L37)</f>
        <v>-</v>
      </c>
      <c r="Q25" s="67" t="str">
        <f>IF($P$25="-","-",($F$23*$P$25)/1000)</f>
        <v>-</v>
      </c>
      <c r="R25" s="7"/>
      <c r="S25" s="7"/>
      <c r="T25" s="7"/>
      <c r="U25" s="102"/>
      <c r="V25" s="53"/>
      <c r="W25" s="7"/>
      <c r="X25" s="7"/>
      <c r="Y25" s="7"/>
      <c r="Z25" s="7"/>
      <c r="AA25" s="7"/>
      <c r="AB25" s="7"/>
      <c r="AC25" s="7"/>
      <c r="AD25" s="7"/>
      <c r="AE25" s="7"/>
      <c r="AF25" s="7"/>
      <c r="AG25" s="7"/>
      <c r="AH25" s="7"/>
      <c r="AI25" s="7"/>
      <c r="AJ25" s="7"/>
      <c r="AK25" s="7"/>
      <c r="AL25" s="7"/>
      <c r="AM25" s="7"/>
      <c r="AN25" s="7"/>
      <c r="AO25" s="7"/>
      <c r="AP25" s="7"/>
      <c r="AQ25" s="7"/>
    </row>
    <row r="26" spans="1:43" ht="20.100000000000001" customHeight="1">
      <c r="A26" s="7"/>
      <c r="B26" s="101"/>
      <c r="C26" s="94"/>
      <c r="D26" s="94"/>
      <c r="E26" s="94"/>
      <c r="F26" s="105"/>
      <c r="G26" s="53"/>
      <c r="H26" s="32"/>
      <c r="I26" s="93" t="str">
        <f>IF('ASSESS &amp; COMPARE'!E39="","-",'ASSESS &amp; COMPARE'!E39)</f>
        <v>PKE</v>
      </c>
      <c r="J26" s="93"/>
      <c r="K26" s="93"/>
      <c r="L26" s="94" t="str">
        <f>IF('ASSESS &amp; COMPARE'!G39="","-",'ASSESS &amp; COMPARE'!G39)</f>
        <v>-</v>
      </c>
      <c r="M26" s="95"/>
      <c r="N26" s="67" t="str">
        <f>IF('ASSESS &amp; COMPARE'!J39="","-",'ASSESS &amp; COMPARE'!J39)</f>
        <v>-</v>
      </c>
      <c r="O26" s="67" t="str">
        <f>IF($N$26="-","-",($F$23*$N$26)/1000)</f>
        <v>-</v>
      </c>
      <c r="P26" s="741" t="str">
        <f>IF('ASSESS &amp; COMPARE'!L40="","-",'ASSESS &amp; COMPARE'!L40)</f>
        <v>-</v>
      </c>
      <c r="Q26" s="741" t="str">
        <f>IF($P$26="-","-",($F$23*$P$26)/1000)</f>
        <v>-</v>
      </c>
      <c r="R26" s="7"/>
      <c r="S26" s="7"/>
      <c r="T26" s="7"/>
      <c r="U26" s="102"/>
      <c r="V26" s="53"/>
      <c r="W26" s="7"/>
      <c r="X26" s="7"/>
      <c r="Y26" s="7"/>
      <c r="Z26" s="7"/>
      <c r="AA26" s="7"/>
      <c r="AB26" s="7"/>
      <c r="AC26" s="7"/>
      <c r="AD26" s="7"/>
      <c r="AE26" s="7"/>
      <c r="AF26" s="7"/>
      <c r="AG26" s="7"/>
      <c r="AH26" s="7"/>
      <c r="AI26" s="7"/>
      <c r="AJ26" s="7"/>
      <c r="AK26" s="7"/>
      <c r="AL26" s="7"/>
      <c r="AM26" s="7"/>
      <c r="AN26" s="7"/>
      <c r="AO26" s="7"/>
      <c r="AP26" s="7"/>
      <c r="AQ26" s="7"/>
    </row>
    <row r="27" spans="1:43" ht="20.100000000000001" customHeight="1">
      <c r="A27" s="7"/>
      <c r="B27" s="101"/>
      <c r="C27" s="53"/>
      <c r="D27" s="53"/>
      <c r="E27" s="53"/>
      <c r="F27" s="53"/>
      <c r="G27" s="53"/>
      <c r="H27" s="53"/>
      <c r="I27" s="55" t="str">
        <f>IF('ASSESS &amp; COMPARE'!E42="","-",'ASSESS &amp; COMPARE'!E42)</f>
        <v>CaCO3, %DM</v>
      </c>
      <c r="J27" s="55"/>
      <c r="K27" s="885"/>
      <c r="L27" s="53" t="str">
        <f>IF('ASSESS &amp; COMPARE'!G42="","-",'ASSESS &amp; COMPARE'!G42)</f>
        <v>-</v>
      </c>
      <c r="M27" s="96"/>
      <c r="N27" s="69" t="str">
        <f>IF('ASSESS &amp; COMPARE'!J42="","-",'ASSESS &amp; COMPARE'!J42)</f>
        <v>-</v>
      </c>
      <c r="O27" s="69" t="str">
        <f>IF($N$27="-","-",($F$23*$N$27)/1000)</f>
        <v>-</v>
      </c>
      <c r="P27" s="67" t="str">
        <f>IF('ASSESS &amp; COMPARE'!L43="","-",'ASSESS &amp; COMPARE'!L43)</f>
        <v>-</v>
      </c>
      <c r="Q27" s="67" t="str">
        <f>IF($P$27="-","-",($F$23*$P$27)/1000)</f>
        <v>-</v>
      </c>
      <c r="R27" s="7"/>
      <c r="S27" s="7"/>
      <c r="T27" s="7"/>
      <c r="U27" s="102"/>
      <c r="V27" s="53"/>
      <c r="W27" s="7"/>
      <c r="X27" s="7"/>
      <c r="Y27" s="7"/>
      <c r="Z27" s="7"/>
      <c r="AA27" s="7"/>
      <c r="AB27" s="7"/>
      <c r="AC27" s="7"/>
      <c r="AD27" s="7"/>
      <c r="AE27" s="7"/>
      <c r="AF27" s="7"/>
      <c r="AG27" s="7"/>
      <c r="AH27" s="7"/>
      <c r="AI27" s="7"/>
      <c r="AJ27" s="7"/>
      <c r="AK27" s="7"/>
      <c r="AL27" s="7"/>
      <c r="AM27" s="7"/>
      <c r="AN27" s="7"/>
      <c r="AO27" s="7"/>
      <c r="AP27" s="7"/>
      <c r="AQ27" s="7"/>
    </row>
    <row r="28" spans="1:43" ht="20.100000000000001" customHeight="1">
      <c r="A28" s="7"/>
      <c r="B28" s="101"/>
      <c r="C28" s="413" t="s">
        <v>108</v>
      </c>
      <c r="D28" s="412"/>
      <c r="E28" s="412"/>
      <c r="F28" s="874" t="s">
        <v>114</v>
      </c>
      <c r="G28" s="737"/>
      <c r="H28" s="738"/>
      <c r="I28" s="93" t="str">
        <f>IF('ASSESS &amp; COMPARE'!E45="","-",'ASSESS &amp; COMPARE'!E45)</f>
        <v>Maize grain</v>
      </c>
      <c r="J28" s="93"/>
      <c r="K28" s="93"/>
      <c r="L28" s="94" t="str">
        <f>IF('ASSESS &amp; COMPARE'!G45="","-",'ASSESS &amp; COMPARE'!G45)</f>
        <v>-</v>
      </c>
      <c r="M28" s="95"/>
      <c r="N28" s="67" t="str">
        <f>IF('ASSESS &amp; COMPARE'!J45="","-",'ASSESS &amp; COMPARE'!J45)</f>
        <v>-</v>
      </c>
      <c r="O28" s="67" t="str">
        <f>IF($N$28="-","-",($F$23*$N$28)/1000)</f>
        <v>-</v>
      </c>
      <c r="P28" s="741" t="str">
        <f>IF('ASSESS &amp; COMPARE'!L46="","-",'ASSESS &amp; COMPARE'!L46)</f>
        <v>-</v>
      </c>
      <c r="Q28" s="741" t="str">
        <f>IF($P$28="-","-",($F$23*$P$28)/1000)</f>
        <v>-</v>
      </c>
      <c r="R28" s="7"/>
      <c r="S28" s="7"/>
      <c r="T28" s="7"/>
      <c r="U28" s="102"/>
      <c r="V28" s="53"/>
      <c r="W28" s="7"/>
      <c r="X28" s="7"/>
      <c r="Y28" s="7"/>
      <c r="Z28" s="7"/>
      <c r="AA28" s="7"/>
      <c r="AB28" s="7"/>
      <c r="AC28" s="7"/>
      <c r="AD28" s="7"/>
      <c r="AE28" s="7"/>
      <c r="AF28" s="7"/>
      <c r="AG28" s="7"/>
      <c r="AH28" s="7"/>
      <c r="AI28" s="7"/>
      <c r="AJ28" s="7"/>
      <c r="AK28" s="7"/>
      <c r="AL28" s="7"/>
      <c r="AM28" s="7"/>
      <c r="AN28" s="7"/>
      <c r="AO28" s="7"/>
      <c r="AP28" s="7"/>
      <c r="AQ28" s="7"/>
    </row>
    <row r="29" spans="1:43" ht="20.100000000000001" customHeight="1">
      <c r="A29" s="7"/>
      <c r="B29" s="101"/>
      <c r="C29" s="53"/>
      <c r="D29" s="53"/>
      <c r="E29" s="53"/>
      <c r="F29" s="53"/>
      <c r="G29" s="53"/>
      <c r="H29" s="53"/>
      <c r="I29" s="881"/>
      <c r="J29" s="882"/>
      <c r="K29" s="7"/>
      <c r="L29" s="96"/>
      <c r="M29" s="96"/>
      <c r="N29" s="32"/>
      <c r="O29" s="69"/>
      <c r="P29" s="27"/>
      <c r="Q29" s="27"/>
      <c r="R29" s="7"/>
      <c r="S29" s="7"/>
      <c r="T29" s="7"/>
      <c r="U29" s="102"/>
      <c r="V29" s="53"/>
      <c r="W29" s="7"/>
      <c r="X29" s="7"/>
      <c r="Y29" s="7"/>
      <c r="Z29" s="7"/>
      <c r="AA29" s="7"/>
      <c r="AB29" s="7"/>
      <c r="AC29" s="7"/>
      <c r="AD29" s="7"/>
      <c r="AE29" s="7"/>
      <c r="AF29" s="7"/>
      <c r="AG29" s="7"/>
      <c r="AH29" s="7"/>
      <c r="AI29" s="7"/>
      <c r="AJ29" s="7"/>
      <c r="AK29" s="7"/>
      <c r="AL29" s="7"/>
      <c r="AM29" s="7"/>
      <c r="AN29" s="7"/>
      <c r="AO29" s="7"/>
      <c r="AP29" s="7"/>
      <c r="AQ29" s="7"/>
    </row>
    <row r="30" spans="1:43" ht="20.100000000000001" customHeight="1">
      <c r="A30" s="7"/>
      <c r="B30" s="101"/>
      <c r="C30" s="93" t="str">
        <f>IF('ASSESS &amp; COMPARE'!C15="","-",'ASSESS &amp; COMPARE'!C15)</f>
        <v xml:space="preserve">Pre-grazing cover </v>
      </c>
      <c r="D30" s="94"/>
      <c r="E30" s="94"/>
      <c r="F30" s="740" t="str">
        <f>IF('ASSESS &amp; COMPARE'!G15="","-",'ASSESS &amp; COMPARE'!G15)</f>
        <v>-</v>
      </c>
      <c r="G30" s="53"/>
      <c r="H30" s="32"/>
      <c r="I30" s="53"/>
      <c r="J30" s="53"/>
      <c r="K30" s="7"/>
      <c r="L30" s="53"/>
      <c r="M30" s="96"/>
      <c r="N30" s="69"/>
      <c r="O30" s="69"/>
      <c r="P30" s="69"/>
      <c r="Q30" s="69"/>
      <c r="R30" s="7"/>
      <c r="S30" s="7"/>
      <c r="T30" s="7"/>
      <c r="U30" s="102"/>
      <c r="V30" s="53"/>
      <c r="W30" s="7"/>
      <c r="X30" s="7"/>
      <c r="Y30" s="7"/>
      <c r="Z30" s="7"/>
      <c r="AA30" s="7"/>
      <c r="AB30" s="7"/>
      <c r="AC30" s="7"/>
      <c r="AD30" s="7"/>
      <c r="AE30" s="7"/>
      <c r="AF30" s="7"/>
      <c r="AG30" s="7"/>
      <c r="AH30" s="7"/>
      <c r="AI30" s="7"/>
      <c r="AJ30" s="7"/>
      <c r="AK30" s="7"/>
      <c r="AL30" s="7"/>
      <c r="AM30" s="7"/>
      <c r="AN30" s="7"/>
      <c r="AO30" s="7"/>
      <c r="AP30" s="7"/>
      <c r="AQ30" s="7"/>
    </row>
    <row r="31" spans="1:43" ht="20.100000000000001" customHeight="1">
      <c r="A31" s="7"/>
      <c r="B31" s="101"/>
      <c r="C31" s="55" t="str">
        <f>IF('ASSESS &amp; COMPARE'!C16="","-",'ASSESS &amp; COMPARE'!C16)</f>
        <v xml:space="preserve">Post-grazing residual </v>
      </c>
      <c r="D31" s="53"/>
      <c r="E31" s="53"/>
      <c r="F31" s="739" t="str">
        <f>IF('ASSESS &amp; COMPARE'!G16="","-",'ASSESS &amp; COMPARE'!G16)</f>
        <v>-</v>
      </c>
      <c r="G31" s="53"/>
      <c r="H31" s="32"/>
      <c r="I31" s="53"/>
      <c r="J31" s="53"/>
      <c r="K31" s="7"/>
      <c r="L31" s="416" t="s">
        <v>183</v>
      </c>
      <c r="M31" s="412"/>
      <c r="N31" s="417" t="str">
        <f>IF('ASSESS &amp; COMPARE'!J49="","-",'ASSESS &amp; COMPARE'!J49)</f>
        <v>-</v>
      </c>
      <c r="O31" s="417" t="str">
        <f>IF($N31="-","-",($F$23*$N31)/1000)</f>
        <v>-</v>
      </c>
      <c r="P31" s="873" t="str">
        <f>IF('ASSESS &amp; COMPARE'!L50="","-",'ASSESS &amp; COMPARE'!L50)</f>
        <v>-</v>
      </c>
      <c r="Q31" s="759" t="str">
        <f>IF($P31="-","-",($F$23*$P31)/1000)</f>
        <v>-</v>
      </c>
      <c r="R31" s="7"/>
      <c r="S31" s="7"/>
      <c r="T31" s="7"/>
      <c r="U31" s="102"/>
      <c r="V31" s="53"/>
      <c r="W31" s="7"/>
      <c r="X31" s="7"/>
      <c r="Y31" s="7"/>
      <c r="Z31" s="7"/>
      <c r="AA31" s="7"/>
      <c r="AB31" s="7"/>
      <c r="AC31" s="7"/>
      <c r="AD31" s="7"/>
      <c r="AE31" s="7"/>
      <c r="AF31" s="7"/>
      <c r="AG31" s="7"/>
      <c r="AH31" s="7"/>
      <c r="AI31" s="7"/>
      <c r="AJ31" s="7"/>
      <c r="AK31" s="7"/>
      <c r="AL31" s="7"/>
      <c r="AM31" s="7"/>
      <c r="AN31" s="7"/>
      <c r="AO31" s="7"/>
      <c r="AP31" s="7"/>
      <c r="AQ31" s="7"/>
    </row>
    <row r="32" spans="1:43" ht="20.100000000000001" customHeight="1">
      <c r="A32" s="7"/>
      <c r="B32" s="101"/>
      <c r="C32" s="93" t="str">
        <f>IF('ASSESS &amp; COMPARE'!C17="","-",'ASSESS &amp; COMPARE'!C17)</f>
        <v>Hectares grazed/day  -this mob</v>
      </c>
      <c r="D32" s="94"/>
      <c r="E32" s="94"/>
      <c r="F32" s="67" t="str">
        <f>IF('ASSESS &amp; COMPARE'!G17="","-",'ASSESS &amp; COMPARE'!G17)</f>
        <v>-</v>
      </c>
      <c r="G32" s="53"/>
      <c r="H32" s="32"/>
      <c r="I32" s="53"/>
      <c r="J32" s="53"/>
      <c r="K32" s="7"/>
      <c r="L32" s="416" t="s">
        <v>2</v>
      </c>
      <c r="M32" s="412"/>
      <c r="N32" s="417" t="str">
        <f>IF('ASSESS &amp; COMPARE'!Y49="","-",'ASSESS &amp; COMPARE'!Y49)</f>
        <v>-</v>
      </c>
      <c r="O32" s="417" t="str">
        <f>IF($N32="-","-",($F$23*$N32)/1000)</f>
        <v>-</v>
      </c>
      <c r="P32" s="759" t="str">
        <f>IF('ASSESS &amp; COMPARE'!Y50="","-",'ASSESS &amp; COMPARE'!Y50)</f>
        <v>-</v>
      </c>
      <c r="Q32" s="759" t="str">
        <f>IF($P32="-","-",($F$23*$P32)/1000)</f>
        <v>-</v>
      </c>
      <c r="R32" s="7"/>
      <c r="S32" s="7"/>
      <c r="T32" s="7"/>
      <c r="U32" s="102"/>
      <c r="V32" s="53"/>
      <c r="W32" s="7"/>
      <c r="X32" s="7"/>
      <c r="Y32" s="7"/>
      <c r="Z32" s="7"/>
      <c r="AA32" s="7"/>
      <c r="AB32" s="7"/>
      <c r="AC32" s="7"/>
      <c r="AD32" s="7"/>
      <c r="AE32" s="7"/>
      <c r="AF32" s="7"/>
      <c r="AG32" s="7"/>
      <c r="AH32" s="7"/>
      <c r="AI32" s="7"/>
      <c r="AJ32" s="7"/>
      <c r="AK32" s="7"/>
      <c r="AL32" s="7"/>
      <c r="AM32" s="7"/>
      <c r="AN32" s="7"/>
      <c r="AO32" s="7"/>
      <c r="AP32" s="7"/>
      <c r="AQ32" s="7"/>
    </row>
    <row r="33" spans="1:43" ht="20.100000000000001" customHeight="1">
      <c r="A33" s="7"/>
      <c r="B33" s="106"/>
      <c r="C33" s="107"/>
      <c r="D33" s="107"/>
      <c r="E33" s="107"/>
      <c r="F33" s="107"/>
      <c r="G33" s="107"/>
      <c r="H33" s="107"/>
      <c r="I33" s="107"/>
      <c r="J33" s="107"/>
      <c r="K33" s="174"/>
      <c r="L33" s="174"/>
      <c r="M33" s="174"/>
      <c r="N33" s="174"/>
      <c r="O33" s="174"/>
      <c r="P33" s="174"/>
      <c r="Q33" s="174"/>
      <c r="R33" s="174"/>
      <c r="S33" s="174"/>
      <c r="T33" s="174"/>
      <c r="U33" s="109"/>
      <c r="V33" s="53"/>
      <c r="W33" s="7"/>
      <c r="X33" s="7"/>
      <c r="Y33" s="7"/>
      <c r="Z33" s="7"/>
      <c r="AA33" s="7"/>
      <c r="AB33" s="7"/>
      <c r="AC33" s="7"/>
      <c r="AD33" s="7"/>
      <c r="AE33" s="7"/>
      <c r="AF33" s="7"/>
      <c r="AG33" s="7"/>
      <c r="AH33" s="7"/>
      <c r="AI33" s="7"/>
      <c r="AJ33" s="7"/>
      <c r="AK33" s="7"/>
      <c r="AL33" s="7"/>
      <c r="AM33" s="7"/>
      <c r="AN33" s="7"/>
      <c r="AO33" s="7"/>
      <c r="AP33" s="7"/>
      <c r="AQ33" s="7"/>
    </row>
    <row r="34" spans="1:43" ht="9.75" customHeight="1">
      <c r="A34" s="7"/>
      <c r="B34" s="53"/>
      <c r="C34" s="53"/>
      <c r="D34" s="53"/>
      <c r="E34" s="53"/>
      <c r="F34" s="53"/>
      <c r="G34" s="53"/>
      <c r="H34" s="53"/>
      <c r="I34" s="53"/>
      <c r="J34" s="53"/>
      <c r="K34" s="53"/>
      <c r="L34" s="53"/>
      <c r="M34" s="53"/>
      <c r="N34" s="96"/>
      <c r="O34" s="53"/>
      <c r="P34" s="53"/>
      <c r="Q34" s="96"/>
      <c r="R34" s="53"/>
      <c r="S34" s="53"/>
      <c r="T34" s="53"/>
      <c r="U34" s="53"/>
      <c r="V34" s="53"/>
      <c r="W34" s="7"/>
      <c r="X34" s="7"/>
      <c r="Y34" s="7"/>
      <c r="Z34" s="7"/>
      <c r="AA34" s="7"/>
      <c r="AB34" s="7"/>
      <c r="AC34" s="7"/>
      <c r="AD34" s="7"/>
      <c r="AE34" s="7"/>
      <c r="AF34" s="7"/>
      <c r="AG34" s="7"/>
      <c r="AH34" s="7"/>
      <c r="AI34" s="7"/>
      <c r="AJ34" s="7"/>
      <c r="AK34" s="7"/>
      <c r="AL34" s="7"/>
      <c r="AM34" s="7"/>
      <c r="AN34" s="7"/>
      <c r="AO34" s="7"/>
      <c r="AP34" s="7"/>
      <c r="AQ34" s="7"/>
    </row>
    <row r="35" spans="1:43" ht="33.75" customHeight="1">
      <c r="A35" s="7"/>
      <c r="B35" s="45" t="s">
        <v>174</v>
      </c>
      <c r="C35" s="4"/>
      <c r="D35" s="32"/>
      <c r="E35" s="53"/>
      <c r="F35" s="53"/>
      <c r="G35" s="53"/>
      <c r="H35" s="53"/>
      <c r="I35" s="53"/>
      <c r="J35" s="53"/>
      <c r="K35" s="53"/>
      <c r="L35" s="53"/>
      <c r="M35" s="53"/>
      <c r="N35" s="45" t="s">
        <v>175</v>
      </c>
      <c r="O35" s="4"/>
      <c r="P35" s="32"/>
      <c r="Q35" s="53"/>
      <c r="R35" s="53"/>
      <c r="S35" s="53"/>
      <c r="T35" s="110"/>
      <c r="U35" s="111"/>
      <c r="V35" s="110"/>
      <c r="W35" s="7"/>
      <c r="X35" s="7"/>
      <c r="Y35" s="7"/>
      <c r="Z35" s="7"/>
      <c r="AA35" s="7"/>
      <c r="AB35" s="7"/>
      <c r="AC35" s="7"/>
      <c r="AD35" s="7"/>
      <c r="AE35" s="7"/>
      <c r="AF35" s="7"/>
      <c r="AG35" s="7"/>
      <c r="AH35" s="7"/>
      <c r="AI35" s="7"/>
      <c r="AJ35" s="7"/>
      <c r="AK35" s="7"/>
      <c r="AL35" s="7"/>
      <c r="AM35" s="7"/>
      <c r="AN35" s="7"/>
      <c r="AO35" s="7"/>
      <c r="AP35" s="7"/>
      <c r="AQ35" s="7"/>
    </row>
    <row r="36" spans="1:43" ht="15.6">
      <c r="A36" s="7"/>
      <c r="B36" s="97"/>
      <c r="C36" s="98"/>
      <c r="D36" s="98"/>
      <c r="E36" s="98"/>
      <c r="F36" s="98"/>
      <c r="G36" s="98"/>
      <c r="H36" s="98"/>
      <c r="I36" s="98"/>
      <c r="J36" s="98"/>
      <c r="K36" s="98"/>
      <c r="L36" s="98"/>
      <c r="M36" s="98"/>
      <c r="N36" s="99"/>
      <c r="O36" s="98"/>
      <c r="P36" s="98"/>
      <c r="Q36" s="98"/>
      <c r="R36" s="98"/>
      <c r="S36" s="98"/>
      <c r="T36" s="98"/>
      <c r="U36" s="100"/>
      <c r="V36" s="53"/>
      <c r="W36" s="65"/>
      <c r="X36" s="7"/>
      <c r="Y36" s="56"/>
      <c r="Z36" s="7"/>
      <c r="AA36" s="7"/>
      <c r="AB36" s="7"/>
      <c r="AC36" s="7"/>
      <c r="AD36" s="7"/>
      <c r="AE36" s="7"/>
      <c r="AF36" s="7"/>
      <c r="AG36" s="7"/>
      <c r="AH36" s="7"/>
      <c r="AI36" s="7"/>
      <c r="AJ36" s="7"/>
      <c r="AK36" s="7"/>
      <c r="AL36" s="7"/>
      <c r="AM36" s="7"/>
      <c r="AN36" s="7"/>
      <c r="AO36" s="7"/>
      <c r="AP36" s="7"/>
      <c r="AQ36" s="7"/>
    </row>
    <row r="37" spans="1:43" ht="20.100000000000001" customHeight="1">
      <c r="A37" s="7"/>
      <c r="B37" s="101"/>
      <c r="C37" s="200"/>
      <c r="D37" s="199"/>
      <c r="E37" s="273" t="s">
        <v>120</v>
      </c>
      <c r="F37" s="273" t="s">
        <v>1</v>
      </c>
      <c r="G37" s="285"/>
      <c r="H37" s="273" t="s">
        <v>142</v>
      </c>
      <c r="I37" s="273" t="s">
        <v>12</v>
      </c>
      <c r="J37" s="273" t="s">
        <v>13</v>
      </c>
      <c r="K37" s="273" t="s">
        <v>143</v>
      </c>
      <c r="L37" s="273" t="s">
        <v>144</v>
      </c>
      <c r="M37" s="199"/>
      <c r="N37" s="273" t="s">
        <v>328</v>
      </c>
      <c r="O37" s="273" t="s">
        <v>329</v>
      </c>
      <c r="P37" s="273"/>
      <c r="Q37" s="285"/>
      <c r="R37" s="285"/>
      <c r="S37" s="285"/>
      <c r="T37" s="285"/>
      <c r="U37" s="102"/>
      <c r="V37" s="53"/>
      <c r="W37" s="65"/>
      <c r="X37" s="7"/>
      <c r="Y37" s="56"/>
      <c r="Z37" s="7"/>
      <c r="AA37" s="7"/>
      <c r="AB37" s="7"/>
      <c r="AC37" s="7"/>
      <c r="AD37" s="7"/>
      <c r="AE37" s="7"/>
      <c r="AF37" s="7"/>
      <c r="AG37" s="7"/>
      <c r="AH37" s="7"/>
      <c r="AI37" s="7"/>
      <c r="AJ37" s="7"/>
      <c r="AK37" s="7"/>
      <c r="AL37" s="7"/>
      <c r="AM37" s="7"/>
      <c r="AN37" s="7"/>
      <c r="AO37" s="7"/>
      <c r="AP37" s="7"/>
      <c r="AQ37" s="7"/>
    </row>
    <row r="38" spans="1:43" ht="20.100000000000001" customHeight="1">
      <c r="A38" s="7"/>
      <c r="B38" s="101"/>
      <c r="C38" s="201" t="s">
        <v>164</v>
      </c>
      <c r="D38" s="199"/>
      <c r="E38" s="657" t="str">
        <f>IF('ASSESS &amp; COMPARE'!Z14="","-",'ASSESS &amp; COMPARE'!Z14)</f>
        <v>-</v>
      </c>
      <c r="F38" s="742" t="str">
        <f>IF('ASSESS &amp; COMPARE'!AB14="","-",'ASSESS &amp; COMPARE'!AB14)</f>
        <v>-</v>
      </c>
      <c r="G38" s="285"/>
      <c r="H38" s="657" t="str">
        <f>IF('ASSESS &amp; COMPARE'!AE14="","-",'ASSESS &amp; COMPARE'!AE14)</f>
        <v>-</v>
      </c>
      <c r="I38" s="747" t="s">
        <v>157</v>
      </c>
      <c r="J38" s="747" t="s">
        <v>173</v>
      </c>
      <c r="K38" s="748" t="s">
        <v>172</v>
      </c>
      <c r="L38" s="748" t="s">
        <v>165</v>
      </c>
      <c r="M38" s="743"/>
      <c r="N38" s="750"/>
      <c r="O38" s="743"/>
      <c r="P38" s="393"/>
      <c r="Q38" s="285"/>
      <c r="R38" s="285"/>
      <c r="S38" s="285"/>
      <c r="T38" s="285"/>
      <c r="U38" s="102"/>
      <c r="V38" s="53"/>
      <c r="W38" s="66"/>
      <c r="X38" s="7"/>
      <c r="Y38" s="56"/>
      <c r="Z38" s="7"/>
      <c r="AA38" s="7"/>
      <c r="AB38" s="7"/>
      <c r="AC38" s="7"/>
      <c r="AD38" s="7"/>
      <c r="AE38" s="7"/>
      <c r="AF38" s="7"/>
      <c r="AG38" s="7"/>
      <c r="AH38" s="7"/>
      <c r="AI38" s="7"/>
      <c r="AJ38" s="7"/>
      <c r="AK38" s="7"/>
      <c r="AL38" s="7"/>
      <c r="AM38" s="7"/>
      <c r="AN38" s="7"/>
      <c r="AO38" s="7"/>
      <c r="AP38" s="7"/>
      <c r="AQ38" s="7"/>
    </row>
    <row r="39" spans="1:43" ht="20.100000000000001" customHeight="1">
      <c r="A39" s="7"/>
      <c r="B39" s="101"/>
      <c r="C39" s="415"/>
      <c r="D39" s="199"/>
      <c r="E39" s="743"/>
      <c r="F39" s="743"/>
      <c r="G39" s="285"/>
      <c r="H39" s="393"/>
      <c r="I39" s="393"/>
      <c r="J39" s="393"/>
      <c r="K39" s="393"/>
      <c r="L39" s="393"/>
      <c r="M39" s="743"/>
      <c r="N39" s="743"/>
      <c r="O39" s="743"/>
      <c r="P39" s="393"/>
      <c r="Q39" s="285"/>
      <c r="R39" s="285"/>
      <c r="S39" s="285"/>
      <c r="T39" s="285"/>
      <c r="U39" s="102"/>
      <c r="V39" s="53"/>
      <c r="W39" s="66"/>
      <c r="X39" s="7"/>
      <c r="Y39" s="56"/>
      <c r="Z39" s="7"/>
      <c r="AA39" s="7"/>
      <c r="AB39" s="7"/>
      <c r="AC39" s="7"/>
      <c r="AD39" s="7"/>
      <c r="AE39" s="7"/>
      <c r="AF39" s="7"/>
      <c r="AG39" s="7"/>
      <c r="AH39" s="7"/>
      <c r="AI39" s="7"/>
      <c r="AJ39" s="7"/>
      <c r="AK39" s="7"/>
      <c r="AL39" s="7"/>
      <c r="AM39" s="7"/>
      <c r="AN39" s="7"/>
      <c r="AO39" s="7"/>
      <c r="AP39" s="7"/>
      <c r="AQ39" s="7"/>
    </row>
    <row r="40" spans="1:43" ht="20.100000000000001" customHeight="1">
      <c r="A40" s="7"/>
      <c r="B40" s="101"/>
      <c r="C40" s="201" t="s">
        <v>114</v>
      </c>
      <c r="D40" s="199"/>
      <c r="E40" s="744" t="str">
        <f>IF('ASSESS &amp; COMPARE'!Z16="","-",'ASSESS &amp; COMPARE'!Z16)</f>
        <v>-</v>
      </c>
      <c r="F40" s="745" t="str">
        <f>IF('ASSESS &amp; COMPARE'!AB16="","-",'ASSESS &amp; COMPARE'!AB16)</f>
        <v>-</v>
      </c>
      <c r="G40" s="285"/>
      <c r="H40" s="749" t="str">
        <f>IF('ASSESS &amp; COMPARE'!AE16="","-",'ASSESS &amp; COMPARE'!AE16)</f>
        <v>-</v>
      </c>
      <c r="I40" s="745" t="str">
        <f>IF('ASSESS &amp; COMPARE'!AH16="","-",'ASSESS &amp; COMPARE'!AH16)</f>
        <v>-</v>
      </c>
      <c r="J40" s="745" t="str">
        <f>IF('ASSESS &amp; COMPARE'!AK16="","-",'ASSESS &amp; COMPARE'!AK16)</f>
        <v>-</v>
      </c>
      <c r="K40" s="745" t="str">
        <f>IF('ASSESS &amp; COMPARE'!AN16="","-",'ASSESS &amp; COMPARE'!AN16)</f>
        <v>-</v>
      </c>
      <c r="L40" s="745" t="str">
        <f>IF('ASSESS &amp; COMPARE'!AQ16="","-",'ASSESS &amp; COMPARE'!AQ16)</f>
        <v>-</v>
      </c>
      <c r="M40" s="743"/>
      <c r="N40" s="751" t="str">
        <f>IF('ASSESS &amp; COMPARE'!AS16="","-",'ASSESS &amp; COMPARE'!AS16)</f>
        <v>-</v>
      </c>
      <c r="O40" s="752" t="str">
        <f>IF('ASSESS &amp; COMPARE'!AU16="","-",'ASSESS &amp; COMPARE'!AU16)</f>
        <v>-</v>
      </c>
      <c r="P40" s="408"/>
      <c r="Q40" s="285"/>
      <c r="R40" s="285"/>
      <c r="S40" s="285"/>
      <c r="T40" s="285"/>
      <c r="U40" s="102"/>
      <c r="V40" s="53"/>
      <c r="W40" s="66"/>
      <c r="X40" s="7"/>
      <c r="Y40" s="56"/>
      <c r="Z40" s="7"/>
      <c r="AA40" s="7"/>
      <c r="AB40" s="7"/>
      <c r="AC40" s="7"/>
      <c r="AD40" s="7"/>
      <c r="AE40" s="7"/>
      <c r="AF40" s="7"/>
      <c r="AG40" s="7"/>
      <c r="AH40" s="7"/>
      <c r="AI40" s="7"/>
      <c r="AJ40" s="7"/>
      <c r="AK40" s="7"/>
      <c r="AL40" s="7"/>
      <c r="AM40" s="7"/>
      <c r="AN40" s="7"/>
      <c r="AO40" s="7"/>
      <c r="AP40" s="7"/>
      <c r="AQ40" s="7"/>
    </row>
    <row r="41" spans="1:43" ht="20.100000000000001" customHeight="1">
      <c r="A41" s="7"/>
      <c r="B41" s="101"/>
      <c r="C41" s="415"/>
      <c r="D41" s="199"/>
      <c r="E41" s="743"/>
      <c r="F41" s="743"/>
      <c r="G41" s="285"/>
      <c r="H41" s="273"/>
      <c r="I41" s="750"/>
      <c r="J41" s="743"/>
      <c r="K41" s="743"/>
      <c r="L41" s="743"/>
      <c r="M41" s="743"/>
      <c r="N41" s="750"/>
      <c r="O41" s="750"/>
      <c r="P41" s="285"/>
      <c r="Q41" s="285"/>
      <c r="R41" s="285"/>
      <c r="S41" s="285"/>
      <c r="T41" s="285"/>
      <c r="U41" s="102"/>
      <c r="V41" s="53"/>
      <c r="W41" s="66"/>
      <c r="X41" s="7"/>
      <c r="Y41" s="56"/>
      <c r="Z41" s="7"/>
      <c r="AA41" s="7"/>
      <c r="AB41" s="7"/>
      <c r="AC41" s="7"/>
      <c r="AD41" s="7"/>
      <c r="AE41" s="7"/>
      <c r="AF41" s="7"/>
      <c r="AG41" s="7"/>
      <c r="AH41" s="7"/>
      <c r="AI41" s="7"/>
      <c r="AJ41" s="7"/>
      <c r="AK41" s="7"/>
      <c r="AL41" s="7"/>
      <c r="AM41" s="7"/>
      <c r="AN41" s="7"/>
      <c r="AO41" s="7"/>
      <c r="AP41" s="7"/>
      <c r="AQ41" s="7"/>
    </row>
    <row r="42" spans="1:43" ht="20.100000000000001" customHeight="1">
      <c r="A42" s="7"/>
      <c r="B42" s="101"/>
      <c r="C42" s="760" t="s">
        <v>115</v>
      </c>
      <c r="D42" s="199"/>
      <c r="E42" s="744" t="str">
        <f>IF('ASSESS &amp; COMPARE'!Z18="","-",'ASSESS &amp; COMPARE'!Z18)</f>
        <v>-</v>
      </c>
      <c r="F42" s="746" t="str">
        <f>IF('ASSESS &amp; COMPARE'!AB18="","-",'ASSESS &amp; COMPARE'!AB18)</f>
        <v>-</v>
      </c>
      <c r="G42" s="285"/>
      <c r="H42" s="749" t="str">
        <f>IF('ASSESS &amp; COMPARE'!AE18="","-",'ASSESS &amp; COMPARE'!AE18)</f>
        <v>-</v>
      </c>
      <c r="I42" s="745" t="str">
        <f>IF('ASSESS &amp; COMPARE'!AH18="","-",'ASSESS &amp; COMPARE'!AH18)</f>
        <v>-</v>
      </c>
      <c r="J42" s="745" t="str">
        <f>IF('ASSESS &amp; COMPARE'!AK18="","-",'ASSESS &amp; COMPARE'!AK18)</f>
        <v>-</v>
      </c>
      <c r="K42" s="745" t="str">
        <f>IF('ASSESS &amp; COMPARE'!AN18="","-",'ASSESS &amp; COMPARE'!AN18)</f>
        <v>-</v>
      </c>
      <c r="L42" s="745" t="str">
        <f>IF('ASSESS &amp; COMPARE'!AQ18="","-",'ASSESS &amp; COMPARE'!AQ18)</f>
        <v>-</v>
      </c>
      <c r="M42" s="743"/>
      <c r="N42" s="751" t="str">
        <f>IF('ASSESS &amp; COMPARE'!AS18="","-",'ASSESS &amp; COMPARE'!AS18)</f>
        <v>-</v>
      </c>
      <c r="O42" s="752" t="str">
        <f>IF('ASSESS &amp; COMPARE'!AU18="","-",'ASSESS &amp; COMPARE'!AU18)</f>
        <v>-</v>
      </c>
      <c r="P42" s="408"/>
      <c r="Q42" s="285"/>
      <c r="R42" s="285"/>
      <c r="S42" s="285"/>
      <c r="T42" s="285"/>
      <c r="U42" s="102"/>
      <c r="V42" s="53"/>
      <c r="W42" s="66"/>
      <c r="X42" s="7"/>
      <c r="Y42" s="56"/>
      <c r="Z42" s="7"/>
      <c r="AA42" s="7"/>
      <c r="AB42" s="7"/>
      <c r="AC42" s="7"/>
      <c r="AD42" s="7"/>
      <c r="AE42" s="7"/>
      <c r="AF42" s="7"/>
      <c r="AG42" s="7"/>
      <c r="AH42" s="7"/>
      <c r="AI42" s="7"/>
      <c r="AJ42" s="7"/>
      <c r="AK42" s="7"/>
      <c r="AL42" s="7"/>
      <c r="AM42" s="7"/>
      <c r="AN42" s="7"/>
      <c r="AO42" s="7"/>
      <c r="AP42" s="7"/>
      <c r="AQ42" s="7"/>
    </row>
    <row r="43" spans="1:43">
      <c r="A43" s="7"/>
      <c r="B43" s="101"/>
      <c r="C43" s="200"/>
      <c r="D43" s="199"/>
      <c r="E43" s="285"/>
      <c r="F43" s="407"/>
      <c r="G43" s="285"/>
      <c r="H43" s="743"/>
      <c r="I43" s="750"/>
      <c r="J43" s="743"/>
      <c r="K43" s="743"/>
      <c r="L43" s="743"/>
      <c r="M43" s="743"/>
      <c r="N43" s="750"/>
      <c r="O43" s="743"/>
      <c r="P43" s="285"/>
      <c r="Q43" s="285"/>
      <c r="R43" s="285"/>
      <c r="S43" s="285"/>
      <c r="T43" s="285"/>
      <c r="U43" s="102"/>
      <c r="V43" s="53"/>
      <c r="W43" s="7"/>
      <c r="X43" s="7"/>
      <c r="Y43" s="7"/>
      <c r="Z43" s="7"/>
      <c r="AA43" s="7"/>
      <c r="AB43" s="7"/>
      <c r="AC43" s="7"/>
      <c r="AD43" s="7"/>
      <c r="AE43" s="7"/>
      <c r="AF43" s="7"/>
      <c r="AG43" s="7"/>
      <c r="AH43" s="7"/>
      <c r="AI43" s="7"/>
      <c r="AJ43" s="7"/>
      <c r="AK43" s="7"/>
      <c r="AL43" s="7"/>
      <c r="AM43" s="7"/>
      <c r="AN43" s="7"/>
      <c r="AO43" s="7"/>
      <c r="AP43" s="7"/>
      <c r="AQ43" s="7"/>
    </row>
    <row r="44" spans="1:43">
      <c r="A44" s="7"/>
      <c r="B44" s="106"/>
      <c r="C44" s="107"/>
      <c r="D44" s="107"/>
      <c r="E44" s="107"/>
      <c r="F44" s="107"/>
      <c r="G44" s="107"/>
      <c r="H44" s="107"/>
      <c r="I44" s="107"/>
      <c r="J44" s="107"/>
      <c r="K44" s="107"/>
      <c r="L44" s="107"/>
      <c r="M44" s="107"/>
      <c r="N44" s="108"/>
      <c r="O44" s="107"/>
      <c r="P44" s="107"/>
      <c r="Q44" s="107"/>
      <c r="R44" s="107"/>
      <c r="S44" s="107"/>
      <c r="T44" s="107"/>
      <c r="U44" s="109"/>
      <c r="V44" s="53"/>
      <c r="W44" s="7"/>
      <c r="X44" s="7"/>
      <c r="Y44" s="7"/>
      <c r="Z44" s="7"/>
      <c r="AA44" s="7"/>
      <c r="AB44" s="7"/>
      <c r="AC44" s="7"/>
      <c r="AD44" s="7"/>
      <c r="AE44" s="7"/>
      <c r="AF44" s="7"/>
      <c r="AG44" s="7"/>
      <c r="AH44" s="7"/>
      <c r="AI44" s="7"/>
      <c r="AJ44" s="7"/>
      <c r="AK44" s="7"/>
      <c r="AL44" s="7"/>
      <c r="AM44" s="7"/>
      <c r="AN44" s="7"/>
      <c r="AO44" s="7"/>
      <c r="AP44" s="7"/>
      <c r="AQ44" s="7"/>
    </row>
    <row r="45" spans="1:43">
      <c r="A45" s="7"/>
      <c r="B45" s="53"/>
      <c r="C45" s="53"/>
      <c r="D45" s="53"/>
      <c r="E45" s="53"/>
      <c r="F45" s="53"/>
      <c r="G45" s="53"/>
      <c r="H45" s="53"/>
      <c r="I45" s="53"/>
      <c r="J45" s="53"/>
      <c r="K45" s="53"/>
      <c r="L45" s="53"/>
      <c r="M45" s="53"/>
      <c r="N45" s="96"/>
      <c r="O45" s="53"/>
      <c r="P45" s="53"/>
      <c r="Q45" s="96"/>
      <c r="R45" s="53"/>
      <c r="S45" s="53"/>
      <c r="T45" s="53"/>
      <c r="U45" s="53"/>
      <c r="V45" s="53"/>
      <c r="W45" s="7"/>
      <c r="X45" s="7"/>
      <c r="Y45" s="7"/>
      <c r="Z45" s="7"/>
      <c r="AA45" s="7"/>
      <c r="AB45" s="7"/>
      <c r="AC45" s="7"/>
      <c r="AD45" s="7"/>
      <c r="AE45" s="7"/>
      <c r="AF45" s="7"/>
      <c r="AG45" s="7"/>
      <c r="AH45" s="7"/>
      <c r="AI45" s="7"/>
      <c r="AJ45" s="7"/>
      <c r="AK45" s="7"/>
      <c r="AL45" s="7"/>
      <c r="AM45" s="7"/>
      <c r="AN45" s="7"/>
      <c r="AO45" s="7"/>
      <c r="AP45" s="7"/>
      <c r="AQ45" s="7"/>
    </row>
    <row r="46" spans="1:43">
      <c r="A46" s="7"/>
      <c r="B46" s="7"/>
      <c r="C46" s="7"/>
      <c r="D46" s="7"/>
      <c r="E46" s="7"/>
      <c r="F46" s="7"/>
      <c r="G46" s="7"/>
      <c r="H46" s="7"/>
      <c r="I46" s="7"/>
      <c r="J46" s="7"/>
      <c r="K46" s="7"/>
      <c r="L46" s="7"/>
      <c r="M46" s="7"/>
      <c r="N46" s="26"/>
      <c r="O46" s="7"/>
      <c r="P46" s="7"/>
      <c r="Q46" s="26"/>
      <c r="R46" s="7"/>
      <c r="S46" s="7"/>
      <c r="T46" s="7"/>
      <c r="U46" s="7"/>
      <c r="V46" s="7"/>
      <c r="W46" s="7"/>
      <c r="X46" s="7"/>
      <c r="Y46" s="7"/>
      <c r="Z46" s="7"/>
      <c r="AA46" s="7"/>
      <c r="AB46" s="7"/>
      <c r="AC46" s="7"/>
      <c r="AD46" s="7"/>
      <c r="AE46" s="7"/>
      <c r="AF46" s="7"/>
      <c r="AG46" s="7"/>
      <c r="AH46" s="7"/>
      <c r="AI46" s="7"/>
      <c r="AJ46" s="7"/>
      <c r="AK46" s="7"/>
      <c r="AL46" s="7"/>
      <c r="AM46" s="7"/>
      <c r="AN46" s="7"/>
      <c r="AO46" s="7"/>
      <c r="AP46" s="7"/>
      <c r="AQ46" s="7"/>
    </row>
    <row r="47" spans="1:43">
      <c r="A47" s="7"/>
      <c r="B47" s="7"/>
      <c r="C47" s="7"/>
      <c r="D47" s="7"/>
      <c r="E47" s="7"/>
      <c r="F47" s="7"/>
      <c r="G47" s="7"/>
      <c r="H47" s="7"/>
      <c r="I47" s="7"/>
      <c r="J47" s="7"/>
      <c r="K47" s="7"/>
      <c r="L47" s="7"/>
      <c r="M47" s="7"/>
      <c r="N47" s="26"/>
      <c r="O47" s="7"/>
      <c r="P47" s="7"/>
      <c r="Q47" s="26"/>
      <c r="R47" s="7"/>
      <c r="S47" s="7"/>
      <c r="T47" s="7"/>
      <c r="U47" s="7"/>
      <c r="V47" s="7"/>
      <c r="W47" s="7"/>
      <c r="X47" s="7"/>
      <c r="Y47" s="7"/>
      <c r="Z47" s="7"/>
      <c r="AA47" s="7"/>
      <c r="AB47" s="7"/>
      <c r="AC47" s="7"/>
      <c r="AD47" s="7"/>
      <c r="AE47" s="7"/>
      <c r="AF47" s="7"/>
      <c r="AG47" s="7"/>
      <c r="AH47" s="7"/>
      <c r="AI47" s="7"/>
      <c r="AJ47" s="7"/>
      <c r="AK47" s="7"/>
      <c r="AL47" s="7"/>
      <c r="AM47" s="7"/>
      <c r="AN47" s="7"/>
      <c r="AO47" s="7"/>
      <c r="AP47" s="7"/>
      <c r="AQ47" s="7"/>
    </row>
    <row r="48" spans="1:43">
      <c r="A48" s="7"/>
      <c r="B48" s="7"/>
      <c r="C48" s="7"/>
      <c r="D48" s="7"/>
      <c r="E48" s="7"/>
      <c r="F48" s="7"/>
      <c r="G48" s="7"/>
      <c r="H48" s="7"/>
      <c r="I48" s="7"/>
      <c r="J48" s="7"/>
      <c r="K48" s="7"/>
      <c r="L48" s="7"/>
      <c r="M48" s="7"/>
      <c r="N48" s="26"/>
      <c r="O48" s="7"/>
      <c r="P48" s="7"/>
      <c r="Q48" s="26"/>
      <c r="R48" s="7"/>
      <c r="S48" s="7"/>
      <c r="T48" s="7"/>
      <c r="U48" s="7"/>
      <c r="V48" s="7"/>
      <c r="W48" s="7"/>
      <c r="X48" s="7"/>
      <c r="Y48" s="7"/>
      <c r="Z48" s="7"/>
      <c r="AA48" s="7"/>
      <c r="AB48" s="7"/>
      <c r="AC48" s="7"/>
      <c r="AD48" s="7"/>
      <c r="AE48" s="7"/>
      <c r="AF48" s="7"/>
      <c r="AG48" s="7"/>
      <c r="AH48" s="7"/>
      <c r="AI48" s="7"/>
      <c r="AJ48" s="7"/>
      <c r="AK48" s="7"/>
      <c r="AL48" s="7"/>
      <c r="AM48" s="7"/>
      <c r="AN48" s="7"/>
      <c r="AO48" s="7"/>
      <c r="AP48" s="7"/>
      <c r="AQ48" s="7"/>
    </row>
    <row r="49" spans="1:43">
      <c r="A49" s="7"/>
      <c r="B49" s="7"/>
      <c r="C49" s="7"/>
      <c r="D49" s="7"/>
      <c r="E49" s="7"/>
      <c r="F49" s="7"/>
      <c r="G49" s="7"/>
      <c r="H49" s="7"/>
      <c r="I49" s="7"/>
      <c r="J49" s="7"/>
      <c r="K49" s="7"/>
      <c r="L49" s="7"/>
      <c r="M49" s="7"/>
      <c r="N49" s="26"/>
      <c r="O49" s="7"/>
      <c r="P49" s="7"/>
      <c r="Q49" s="26"/>
      <c r="R49" s="7"/>
      <c r="S49" s="7"/>
      <c r="T49" s="7"/>
      <c r="U49" s="7"/>
      <c r="V49" s="7"/>
      <c r="W49" s="7"/>
      <c r="X49" s="7"/>
      <c r="Y49" s="7"/>
      <c r="Z49" s="7"/>
      <c r="AA49" s="7"/>
      <c r="AB49" s="7"/>
      <c r="AC49" s="7"/>
      <c r="AD49" s="7"/>
      <c r="AE49" s="7"/>
      <c r="AF49" s="7"/>
      <c r="AG49" s="7"/>
      <c r="AH49" s="7"/>
      <c r="AI49" s="7"/>
      <c r="AJ49" s="7"/>
      <c r="AK49" s="7"/>
      <c r="AL49" s="7"/>
      <c r="AM49" s="7"/>
      <c r="AN49" s="7"/>
      <c r="AO49" s="7"/>
      <c r="AP49" s="7"/>
      <c r="AQ49" s="7"/>
    </row>
    <row r="50" spans="1:43">
      <c r="B50" s="7"/>
      <c r="C50" s="7"/>
      <c r="D50" s="7"/>
      <c r="E50" s="7"/>
      <c r="F50" s="7"/>
      <c r="G50" s="7"/>
      <c r="H50" s="7"/>
      <c r="I50" s="7"/>
      <c r="J50" s="7"/>
      <c r="K50" s="7"/>
      <c r="L50" s="7"/>
      <c r="M50" s="7"/>
      <c r="N50" s="26"/>
      <c r="O50" s="7"/>
      <c r="P50" s="7"/>
      <c r="Q50" s="26"/>
      <c r="R50" s="7"/>
      <c r="S50" s="7"/>
      <c r="T50" s="7"/>
      <c r="U50" s="7"/>
      <c r="V50" s="7"/>
      <c r="W50" s="7"/>
      <c r="X50" s="7"/>
      <c r="Y50" s="7"/>
      <c r="Z50" s="7"/>
      <c r="AA50" s="7"/>
      <c r="AB50" s="7"/>
      <c r="AC50" s="7"/>
      <c r="AD50" s="7"/>
      <c r="AE50" s="7"/>
      <c r="AF50" s="7"/>
      <c r="AG50" s="7"/>
      <c r="AH50" s="7"/>
      <c r="AI50" s="7"/>
      <c r="AJ50" s="7"/>
      <c r="AK50" s="7"/>
      <c r="AL50" s="7"/>
      <c r="AM50" s="7"/>
      <c r="AN50" s="7"/>
      <c r="AO50" s="7"/>
      <c r="AP50" s="7"/>
      <c r="AQ50" s="7"/>
    </row>
    <row r="51" spans="1:43">
      <c r="B51" s="7"/>
      <c r="C51" s="7"/>
      <c r="D51" s="7"/>
      <c r="E51" s="7"/>
      <c r="F51" s="7"/>
      <c r="G51" s="7"/>
      <c r="H51" s="7"/>
      <c r="I51" s="7"/>
      <c r="J51" s="7"/>
      <c r="K51" s="7"/>
      <c r="L51" s="7"/>
      <c r="M51" s="7"/>
      <c r="N51" s="26"/>
      <c r="O51" s="7"/>
      <c r="P51" s="7"/>
      <c r="Q51" s="26"/>
      <c r="R51" s="7"/>
      <c r="S51" s="7"/>
      <c r="T51" s="7"/>
      <c r="U51" s="7"/>
      <c r="V51" s="7"/>
      <c r="W51" s="7"/>
      <c r="X51" s="7"/>
      <c r="Y51" s="7"/>
      <c r="Z51" s="7"/>
      <c r="AA51" s="7"/>
      <c r="AB51" s="7"/>
      <c r="AC51" s="7"/>
      <c r="AD51" s="7"/>
      <c r="AE51" s="7"/>
      <c r="AF51" s="7"/>
      <c r="AG51" s="7"/>
      <c r="AH51" s="7"/>
      <c r="AI51" s="7"/>
      <c r="AJ51" s="7"/>
      <c r="AK51" s="7"/>
      <c r="AL51" s="7"/>
      <c r="AM51" s="7"/>
      <c r="AN51" s="7"/>
      <c r="AO51" s="7"/>
      <c r="AP51" s="7"/>
      <c r="AQ51" s="7"/>
    </row>
    <row r="52" spans="1:43">
      <c r="B52" s="7"/>
      <c r="C52" s="7"/>
      <c r="D52" s="7"/>
      <c r="E52" s="7"/>
      <c r="F52" s="7"/>
      <c r="G52" s="7"/>
      <c r="H52" s="7"/>
      <c r="I52" s="7"/>
      <c r="J52" s="7"/>
      <c r="K52" s="7"/>
      <c r="L52" s="7"/>
      <c r="M52" s="7"/>
      <c r="N52" s="26"/>
      <c r="O52" s="7"/>
      <c r="P52" s="7"/>
      <c r="Q52" s="26"/>
      <c r="R52" s="7"/>
      <c r="S52" s="7"/>
      <c r="T52" s="7"/>
      <c r="U52" s="7"/>
      <c r="V52" s="7"/>
      <c r="W52" s="7"/>
      <c r="X52" s="7"/>
      <c r="Y52" s="7"/>
      <c r="Z52" s="7"/>
      <c r="AA52" s="7"/>
      <c r="AB52" s="7"/>
      <c r="AC52" s="7"/>
      <c r="AD52" s="7"/>
      <c r="AE52" s="7"/>
      <c r="AF52" s="7"/>
      <c r="AG52" s="7"/>
      <c r="AH52" s="7"/>
      <c r="AI52" s="7"/>
      <c r="AJ52" s="7"/>
      <c r="AK52" s="7"/>
      <c r="AL52" s="7"/>
      <c r="AM52" s="7"/>
      <c r="AN52" s="7"/>
      <c r="AO52" s="7"/>
      <c r="AP52" s="7"/>
      <c r="AQ52" s="7"/>
    </row>
    <row r="53" spans="1:43">
      <c r="B53" s="7"/>
      <c r="C53" s="7"/>
      <c r="D53" s="7"/>
      <c r="E53" s="7"/>
      <c r="F53" s="7"/>
      <c r="G53" s="7"/>
      <c r="H53" s="7"/>
      <c r="I53" s="7"/>
      <c r="J53" s="7"/>
      <c r="K53" s="7"/>
      <c r="L53" s="7"/>
      <c r="M53" s="7"/>
      <c r="N53" s="26"/>
      <c r="O53" s="7"/>
      <c r="P53" s="7"/>
      <c r="Q53" s="26"/>
      <c r="R53" s="7"/>
      <c r="S53" s="7"/>
      <c r="T53" s="7"/>
      <c r="U53" s="7"/>
      <c r="V53" s="7"/>
      <c r="W53" s="7"/>
      <c r="X53" s="7"/>
      <c r="Y53" s="7"/>
      <c r="Z53" s="7"/>
      <c r="AA53" s="7"/>
      <c r="AB53" s="7"/>
      <c r="AC53" s="7"/>
      <c r="AD53" s="7"/>
      <c r="AE53" s="7"/>
      <c r="AF53" s="7"/>
      <c r="AG53" s="7"/>
      <c r="AH53" s="7"/>
      <c r="AI53" s="7"/>
      <c r="AJ53" s="7"/>
      <c r="AK53" s="7"/>
      <c r="AL53" s="7"/>
      <c r="AM53" s="7"/>
      <c r="AN53" s="7"/>
      <c r="AO53" s="7"/>
      <c r="AP53" s="7"/>
      <c r="AQ53" s="7"/>
    </row>
    <row r="54" spans="1:43">
      <c r="B54" s="7"/>
      <c r="C54" s="7"/>
      <c r="D54" s="7"/>
      <c r="E54" s="7"/>
      <c r="F54" s="7"/>
      <c r="G54" s="7"/>
      <c r="H54" s="7"/>
      <c r="I54" s="7"/>
      <c r="J54" s="7"/>
      <c r="K54" s="7"/>
      <c r="L54" s="7"/>
      <c r="M54" s="7"/>
      <c r="N54" s="26"/>
      <c r="O54" s="7"/>
      <c r="P54" s="7"/>
      <c r="Q54" s="26"/>
      <c r="R54" s="7"/>
      <c r="S54" s="7"/>
      <c r="T54" s="7"/>
      <c r="U54" s="7"/>
      <c r="V54" s="7"/>
      <c r="W54" s="7"/>
      <c r="X54" s="7"/>
      <c r="Y54" s="7"/>
      <c r="Z54" s="7"/>
      <c r="AA54" s="7"/>
      <c r="AB54" s="7"/>
      <c r="AC54" s="7"/>
      <c r="AD54" s="7"/>
      <c r="AE54" s="7"/>
      <c r="AF54" s="7"/>
      <c r="AG54" s="7"/>
      <c r="AH54" s="7"/>
      <c r="AI54" s="7"/>
      <c r="AJ54" s="7"/>
      <c r="AK54" s="7"/>
      <c r="AL54" s="7"/>
      <c r="AM54" s="7"/>
      <c r="AN54" s="7"/>
      <c r="AO54" s="7"/>
      <c r="AP54" s="7"/>
      <c r="AQ54" s="7"/>
    </row>
    <row r="55" spans="1:43">
      <c r="B55" s="7"/>
      <c r="C55" s="7"/>
      <c r="D55" s="7"/>
      <c r="E55" s="7"/>
      <c r="F55" s="7"/>
      <c r="G55" s="7"/>
      <c r="H55" s="7"/>
      <c r="I55" s="7"/>
      <c r="J55" s="7"/>
      <c r="K55" s="7"/>
      <c r="L55" s="7"/>
      <c r="M55" s="7"/>
      <c r="N55" s="26"/>
      <c r="O55" s="7"/>
      <c r="P55" s="7"/>
      <c r="Q55" s="26"/>
      <c r="R55" s="7"/>
      <c r="S55" s="7"/>
      <c r="T55" s="7"/>
      <c r="U55" s="7"/>
      <c r="V55" s="7"/>
      <c r="W55" s="7"/>
      <c r="X55" s="7"/>
      <c r="Y55" s="7"/>
      <c r="Z55" s="7"/>
      <c r="AA55" s="7"/>
      <c r="AB55" s="7"/>
      <c r="AC55" s="7"/>
      <c r="AD55" s="7"/>
      <c r="AE55" s="7"/>
      <c r="AF55" s="7"/>
      <c r="AG55" s="7"/>
      <c r="AH55" s="7"/>
      <c r="AI55" s="7"/>
      <c r="AJ55" s="7"/>
      <c r="AK55" s="7"/>
      <c r="AL55" s="7"/>
      <c r="AM55" s="7"/>
      <c r="AN55" s="7"/>
      <c r="AO55" s="7"/>
      <c r="AP55" s="7"/>
      <c r="AQ55" s="7"/>
    </row>
    <row r="56" spans="1:43">
      <c r="B56" s="7"/>
      <c r="C56" s="7"/>
      <c r="D56" s="7"/>
      <c r="E56" s="7"/>
      <c r="F56" s="7"/>
      <c r="G56" s="7"/>
      <c r="H56" s="7"/>
      <c r="I56" s="7"/>
      <c r="J56" s="7"/>
      <c r="K56" s="7"/>
      <c r="L56" s="7"/>
      <c r="M56" s="7"/>
      <c r="N56" s="26"/>
      <c r="O56" s="7"/>
      <c r="P56" s="7"/>
      <c r="Q56" s="26"/>
      <c r="R56" s="7"/>
      <c r="S56" s="7"/>
      <c r="T56" s="7"/>
      <c r="U56" s="7"/>
      <c r="V56" s="7"/>
      <c r="W56" s="7"/>
      <c r="X56" s="7"/>
      <c r="Y56" s="7"/>
      <c r="Z56" s="7"/>
      <c r="AA56" s="7"/>
      <c r="AB56" s="7"/>
      <c r="AC56" s="7"/>
      <c r="AD56" s="7"/>
      <c r="AE56" s="7"/>
      <c r="AF56" s="7"/>
      <c r="AG56" s="7"/>
      <c r="AH56" s="7"/>
      <c r="AI56" s="7"/>
      <c r="AJ56" s="7"/>
      <c r="AK56" s="7"/>
      <c r="AL56" s="7"/>
      <c r="AM56" s="7"/>
      <c r="AN56" s="7"/>
      <c r="AO56" s="7"/>
      <c r="AP56" s="7"/>
      <c r="AQ56" s="7"/>
    </row>
    <row r="57" spans="1:43">
      <c r="B57" s="7"/>
      <c r="C57" s="7"/>
      <c r="D57" s="7"/>
      <c r="E57" s="7"/>
      <c r="F57" s="7"/>
      <c r="G57" s="7"/>
      <c r="H57" s="7"/>
      <c r="I57" s="7"/>
      <c r="J57" s="7"/>
      <c r="K57" s="7"/>
      <c r="L57" s="7"/>
      <c r="M57" s="7"/>
      <c r="N57" s="26"/>
      <c r="O57" s="7"/>
      <c r="P57" s="7"/>
      <c r="Q57" s="26"/>
      <c r="R57" s="7"/>
      <c r="S57" s="7"/>
      <c r="T57" s="7"/>
      <c r="U57" s="7"/>
      <c r="V57" s="7"/>
      <c r="W57" s="7"/>
      <c r="X57" s="7"/>
      <c r="Y57" s="7"/>
      <c r="Z57" s="7"/>
      <c r="AA57" s="7"/>
      <c r="AB57" s="7"/>
      <c r="AC57" s="7"/>
      <c r="AD57" s="7"/>
      <c r="AE57" s="7"/>
      <c r="AF57" s="7"/>
      <c r="AG57" s="7"/>
      <c r="AH57" s="7"/>
      <c r="AI57" s="7"/>
      <c r="AJ57" s="7"/>
      <c r="AK57" s="7"/>
      <c r="AL57" s="7"/>
      <c r="AM57" s="7"/>
      <c r="AN57" s="7"/>
      <c r="AO57" s="7"/>
      <c r="AP57" s="7"/>
      <c r="AQ57" s="7"/>
    </row>
    <row r="58" spans="1:43">
      <c r="B58" s="7"/>
      <c r="C58" s="7"/>
      <c r="D58" s="7"/>
      <c r="E58" s="7"/>
      <c r="F58" s="7"/>
      <c r="G58" s="7"/>
      <c r="H58" s="7"/>
      <c r="I58" s="7"/>
      <c r="J58" s="7"/>
      <c r="K58" s="7"/>
      <c r="L58" s="7"/>
      <c r="M58" s="7"/>
      <c r="N58" s="26"/>
      <c r="O58" s="7"/>
      <c r="P58" s="7"/>
      <c r="Q58" s="26"/>
      <c r="R58" s="7"/>
      <c r="S58" s="7"/>
      <c r="T58" s="7"/>
      <c r="U58" s="7"/>
      <c r="V58" s="7"/>
      <c r="W58" s="7"/>
      <c r="X58" s="7"/>
      <c r="Y58" s="7"/>
      <c r="Z58" s="7"/>
      <c r="AA58" s="7"/>
      <c r="AB58" s="7"/>
      <c r="AC58" s="7"/>
      <c r="AD58" s="7"/>
      <c r="AE58" s="7"/>
      <c r="AF58" s="7"/>
      <c r="AG58" s="7"/>
      <c r="AH58" s="7"/>
      <c r="AI58" s="7"/>
      <c r="AJ58" s="7"/>
      <c r="AK58" s="7"/>
      <c r="AL58" s="7"/>
      <c r="AM58" s="7"/>
      <c r="AN58" s="7"/>
      <c r="AO58" s="7"/>
      <c r="AP58" s="7"/>
      <c r="AQ58" s="7"/>
    </row>
    <row r="59" spans="1:43">
      <c r="B59" s="7"/>
      <c r="C59" s="7"/>
      <c r="D59" s="7"/>
      <c r="E59" s="7"/>
      <c r="F59" s="7"/>
      <c r="G59" s="7"/>
      <c r="H59" s="7"/>
      <c r="I59" s="7"/>
      <c r="J59" s="7"/>
      <c r="K59" s="7"/>
      <c r="L59" s="7"/>
      <c r="M59" s="7"/>
      <c r="N59" s="26"/>
      <c r="O59" s="7"/>
      <c r="P59" s="7"/>
      <c r="Q59" s="26"/>
      <c r="R59" s="7"/>
      <c r="S59" s="7"/>
      <c r="T59" s="7"/>
      <c r="U59" s="7"/>
      <c r="V59" s="7"/>
      <c r="W59" s="7"/>
      <c r="X59" s="7"/>
      <c r="Y59" s="7"/>
      <c r="Z59" s="7"/>
      <c r="AA59" s="7"/>
      <c r="AB59" s="7"/>
      <c r="AC59" s="7"/>
      <c r="AD59" s="7"/>
      <c r="AE59" s="7"/>
      <c r="AF59" s="7"/>
      <c r="AG59" s="7"/>
      <c r="AH59" s="7"/>
      <c r="AI59" s="7"/>
      <c r="AJ59" s="7"/>
      <c r="AK59" s="7"/>
      <c r="AL59" s="7"/>
      <c r="AM59" s="7"/>
      <c r="AN59" s="7"/>
      <c r="AO59" s="7"/>
      <c r="AP59" s="7"/>
      <c r="AQ59" s="7"/>
    </row>
    <row r="60" spans="1:43">
      <c r="B60" s="7"/>
      <c r="C60" s="7"/>
      <c r="D60" s="7"/>
      <c r="E60" s="7"/>
      <c r="F60" s="7"/>
      <c r="G60" s="7"/>
      <c r="H60" s="7"/>
      <c r="I60" s="7"/>
      <c r="J60" s="7"/>
      <c r="K60" s="7"/>
      <c r="L60" s="7"/>
      <c r="M60" s="7"/>
      <c r="N60" s="26"/>
      <c r="O60" s="7"/>
      <c r="P60" s="7"/>
      <c r="Q60" s="26"/>
      <c r="R60" s="7"/>
      <c r="S60" s="7"/>
      <c r="T60" s="7"/>
      <c r="U60" s="7"/>
      <c r="V60" s="7"/>
      <c r="W60" s="7"/>
      <c r="X60" s="7"/>
      <c r="Y60" s="7"/>
      <c r="Z60" s="7"/>
      <c r="AA60" s="7"/>
      <c r="AB60" s="7"/>
      <c r="AC60" s="7"/>
      <c r="AD60" s="7"/>
      <c r="AE60" s="7"/>
      <c r="AF60" s="7"/>
      <c r="AG60" s="7"/>
      <c r="AH60" s="7"/>
      <c r="AI60" s="7"/>
      <c r="AJ60" s="7"/>
      <c r="AK60" s="7"/>
      <c r="AL60" s="7"/>
      <c r="AM60" s="7"/>
      <c r="AN60" s="7"/>
      <c r="AO60" s="7"/>
      <c r="AP60" s="7"/>
      <c r="AQ60" s="7"/>
    </row>
    <row r="61" spans="1:43">
      <c r="B61" s="7"/>
      <c r="C61" s="7"/>
      <c r="D61" s="7"/>
      <c r="E61" s="7"/>
      <c r="F61" s="7"/>
      <c r="G61" s="7"/>
      <c r="H61" s="7"/>
      <c r="I61" s="7"/>
      <c r="J61" s="7"/>
      <c r="K61" s="7"/>
      <c r="L61" s="7"/>
      <c r="M61" s="7"/>
      <c r="N61" s="26"/>
      <c r="O61" s="7"/>
      <c r="P61" s="7"/>
      <c r="Q61" s="26"/>
      <c r="R61" s="7"/>
      <c r="S61" s="7"/>
      <c r="T61" s="7"/>
      <c r="U61" s="7"/>
      <c r="V61" s="7"/>
      <c r="W61" s="7"/>
      <c r="X61" s="7"/>
      <c r="Y61" s="7"/>
      <c r="Z61" s="7"/>
      <c r="AA61" s="7"/>
      <c r="AB61" s="7"/>
      <c r="AC61" s="7"/>
      <c r="AD61" s="7"/>
      <c r="AE61" s="7"/>
      <c r="AF61" s="7"/>
      <c r="AG61" s="7"/>
      <c r="AH61" s="7"/>
      <c r="AI61" s="7"/>
      <c r="AJ61" s="7"/>
      <c r="AK61" s="7"/>
      <c r="AL61" s="7"/>
      <c r="AM61" s="7"/>
      <c r="AN61" s="7"/>
      <c r="AO61" s="7"/>
      <c r="AP61" s="7"/>
      <c r="AQ61" s="7"/>
    </row>
    <row r="62" spans="1:43">
      <c r="B62" s="7"/>
      <c r="C62" s="7"/>
      <c r="D62" s="7"/>
      <c r="E62" s="7"/>
      <c r="F62" s="7"/>
      <c r="G62" s="7"/>
      <c r="H62" s="7"/>
      <c r="I62" s="7"/>
      <c r="J62" s="7"/>
      <c r="K62" s="7"/>
      <c r="L62" s="7"/>
      <c r="M62" s="7"/>
      <c r="N62" s="26"/>
      <c r="O62" s="7"/>
      <c r="P62" s="7"/>
      <c r="Q62" s="26"/>
      <c r="R62" s="7"/>
      <c r="S62" s="7"/>
      <c r="T62" s="7"/>
      <c r="U62" s="7"/>
      <c r="V62" s="7"/>
      <c r="W62" s="7"/>
      <c r="X62" s="7"/>
      <c r="Y62" s="7"/>
      <c r="Z62" s="7"/>
      <c r="AA62" s="7"/>
      <c r="AB62" s="7"/>
      <c r="AC62" s="7"/>
      <c r="AD62" s="7"/>
      <c r="AE62" s="7"/>
      <c r="AF62" s="7"/>
      <c r="AG62" s="7"/>
      <c r="AH62" s="7"/>
      <c r="AI62" s="7"/>
      <c r="AJ62" s="7"/>
      <c r="AK62" s="7"/>
      <c r="AL62" s="7"/>
      <c r="AM62" s="7"/>
      <c r="AN62" s="7"/>
      <c r="AO62" s="7"/>
      <c r="AP62" s="7"/>
      <c r="AQ62" s="7"/>
    </row>
    <row r="63" spans="1:43">
      <c r="B63" s="7"/>
      <c r="C63" s="7"/>
      <c r="D63" s="7"/>
      <c r="E63" s="7"/>
      <c r="F63" s="7"/>
      <c r="G63" s="7"/>
      <c r="H63" s="7"/>
      <c r="I63" s="7"/>
      <c r="J63" s="7"/>
      <c r="K63" s="7"/>
      <c r="L63" s="7"/>
      <c r="M63" s="7"/>
      <c r="N63" s="26"/>
      <c r="O63" s="7"/>
      <c r="P63" s="7"/>
      <c r="Q63" s="26"/>
      <c r="R63" s="7"/>
      <c r="S63" s="7"/>
      <c r="T63" s="7"/>
      <c r="U63" s="7"/>
      <c r="V63" s="7"/>
      <c r="W63" s="7"/>
      <c r="X63" s="7"/>
      <c r="Y63" s="7"/>
      <c r="Z63" s="7"/>
      <c r="AA63" s="7"/>
      <c r="AB63" s="7"/>
      <c r="AC63" s="7"/>
      <c r="AD63" s="7"/>
      <c r="AE63" s="7"/>
      <c r="AF63" s="7"/>
      <c r="AG63" s="7"/>
      <c r="AH63" s="7"/>
      <c r="AI63" s="7"/>
      <c r="AJ63" s="7"/>
      <c r="AK63" s="7"/>
      <c r="AL63" s="7"/>
      <c r="AM63" s="7"/>
      <c r="AN63" s="7"/>
      <c r="AO63" s="7"/>
      <c r="AP63" s="7"/>
      <c r="AQ63" s="7"/>
    </row>
    <row r="64" spans="1:43">
      <c r="B64" s="7"/>
      <c r="C64" s="7"/>
      <c r="D64" s="7"/>
      <c r="E64" s="7"/>
      <c r="F64" s="7"/>
      <c r="G64" s="7"/>
      <c r="H64" s="7"/>
      <c r="I64" s="7"/>
      <c r="J64" s="7"/>
      <c r="K64" s="7"/>
      <c r="L64" s="7"/>
      <c r="M64" s="7"/>
      <c r="N64" s="26"/>
      <c r="O64" s="7"/>
      <c r="P64" s="7"/>
      <c r="Q64" s="26"/>
      <c r="R64" s="7"/>
      <c r="S64" s="7"/>
      <c r="T64" s="7"/>
      <c r="U64" s="7"/>
      <c r="V64" s="7"/>
      <c r="W64" s="7"/>
      <c r="X64" s="7"/>
      <c r="Y64" s="7"/>
      <c r="Z64" s="7"/>
      <c r="AA64" s="7"/>
      <c r="AB64" s="7"/>
      <c r="AC64" s="7"/>
      <c r="AD64" s="7"/>
      <c r="AE64" s="7"/>
      <c r="AF64" s="7"/>
      <c r="AG64" s="7"/>
      <c r="AH64" s="7"/>
      <c r="AI64" s="7"/>
      <c r="AJ64" s="7"/>
      <c r="AK64" s="7"/>
      <c r="AL64" s="7"/>
      <c r="AM64" s="7"/>
      <c r="AN64" s="7"/>
      <c r="AO64" s="7"/>
      <c r="AP64" s="7"/>
      <c r="AQ64" s="7"/>
    </row>
    <row r="65" spans="2:43">
      <c r="B65" s="7"/>
      <c r="C65" s="7"/>
      <c r="D65" s="7"/>
      <c r="E65" s="7"/>
      <c r="F65" s="7"/>
      <c r="G65" s="7"/>
      <c r="H65" s="7"/>
      <c r="I65" s="7"/>
      <c r="J65" s="7"/>
      <c r="K65" s="7"/>
      <c r="L65" s="7"/>
      <c r="M65" s="7"/>
      <c r="N65" s="26"/>
      <c r="O65" s="7"/>
      <c r="P65" s="7"/>
      <c r="Q65" s="26"/>
      <c r="R65" s="7"/>
      <c r="S65" s="7"/>
      <c r="T65" s="7"/>
      <c r="U65" s="7"/>
      <c r="V65" s="7"/>
      <c r="W65" s="7"/>
      <c r="X65" s="7"/>
      <c r="Y65" s="7"/>
      <c r="Z65" s="7"/>
      <c r="AA65" s="7"/>
      <c r="AB65" s="7"/>
      <c r="AC65" s="7"/>
      <c r="AD65" s="7"/>
      <c r="AE65" s="7"/>
      <c r="AF65" s="7"/>
      <c r="AG65" s="7"/>
      <c r="AH65" s="7"/>
      <c r="AI65" s="7"/>
      <c r="AJ65" s="7"/>
      <c r="AK65" s="7"/>
      <c r="AL65" s="7"/>
      <c r="AM65" s="7"/>
      <c r="AN65" s="7"/>
      <c r="AO65" s="7"/>
      <c r="AP65" s="7"/>
      <c r="AQ65" s="7"/>
    </row>
    <row r="66" spans="2:43">
      <c r="B66" s="7"/>
      <c r="C66" s="7"/>
      <c r="D66" s="7"/>
      <c r="E66" s="7"/>
      <c r="F66" s="7"/>
      <c r="G66" s="7"/>
      <c r="H66" s="7"/>
      <c r="I66" s="7"/>
      <c r="J66" s="7"/>
      <c r="K66" s="7"/>
      <c r="L66" s="7"/>
      <c r="M66" s="7"/>
      <c r="N66" s="26"/>
      <c r="O66" s="7"/>
      <c r="P66" s="7"/>
      <c r="Q66" s="26"/>
      <c r="R66" s="7"/>
      <c r="S66" s="7"/>
      <c r="T66" s="7"/>
      <c r="U66" s="7"/>
      <c r="V66" s="7"/>
      <c r="W66" s="7"/>
      <c r="X66" s="7"/>
      <c r="Y66" s="7"/>
      <c r="Z66" s="7"/>
      <c r="AA66" s="7"/>
      <c r="AB66" s="7"/>
      <c r="AC66" s="7"/>
      <c r="AD66" s="7"/>
      <c r="AE66" s="7"/>
      <c r="AF66" s="7"/>
      <c r="AG66" s="7"/>
      <c r="AH66" s="7"/>
      <c r="AI66" s="7"/>
      <c r="AJ66" s="7"/>
      <c r="AK66" s="7"/>
      <c r="AL66" s="7"/>
      <c r="AM66" s="7"/>
      <c r="AN66" s="7"/>
      <c r="AO66" s="7"/>
      <c r="AP66" s="7"/>
      <c r="AQ66" s="7"/>
    </row>
    <row r="67" spans="2:43">
      <c r="B67" s="7"/>
      <c r="C67" s="7"/>
      <c r="D67" s="7"/>
      <c r="E67" s="7"/>
      <c r="F67" s="7"/>
      <c r="G67" s="7"/>
      <c r="H67" s="7"/>
      <c r="I67" s="7"/>
      <c r="J67" s="7"/>
      <c r="K67" s="7"/>
      <c r="L67" s="7"/>
      <c r="M67" s="7"/>
      <c r="N67" s="26"/>
      <c r="O67" s="7"/>
      <c r="P67" s="7"/>
      <c r="Q67" s="26"/>
      <c r="R67" s="7"/>
      <c r="S67" s="7"/>
      <c r="T67" s="7"/>
      <c r="U67" s="7"/>
      <c r="V67" s="7"/>
      <c r="W67" s="7"/>
      <c r="X67" s="7"/>
      <c r="Y67" s="7"/>
      <c r="Z67" s="7"/>
      <c r="AA67" s="7"/>
      <c r="AB67" s="7"/>
      <c r="AC67" s="7"/>
      <c r="AD67" s="7"/>
      <c r="AE67" s="7"/>
      <c r="AF67" s="7"/>
      <c r="AG67" s="7"/>
      <c r="AH67" s="7"/>
      <c r="AI67" s="7"/>
      <c r="AJ67" s="7"/>
      <c r="AK67" s="7"/>
      <c r="AL67" s="7"/>
      <c r="AM67" s="7"/>
      <c r="AN67" s="7"/>
      <c r="AO67" s="7"/>
      <c r="AP67" s="7"/>
      <c r="AQ67" s="7"/>
    </row>
    <row r="68" spans="2:43">
      <c r="B68" s="7"/>
      <c r="C68" s="7"/>
      <c r="D68" s="7"/>
      <c r="E68" s="7"/>
      <c r="F68" s="7"/>
      <c r="G68" s="7"/>
      <c r="H68" s="7"/>
      <c r="I68" s="7"/>
      <c r="J68" s="7"/>
      <c r="K68" s="7"/>
      <c r="L68" s="7"/>
      <c r="M68" s="7"/>
      <c r="N68" s="26"/>
      <c r="O68" s="7"/>
      <c r="P68" s="7"/>
      <c r="Q68" s="26"/>
      <c r="R68" s="7"/>
      <c r="S68" s="7"/>
      <c r="T68" s="7"/>
      <c r="U68" s="7"/>
      <c r="V68" s="7"/>
      <c r="W68" s="7"/>
      <c r="X68" s="7"/>
      <c r="Y68" s="7"/>
      <c r="Z68" s="7"/>
      <c r="AA68" s="7"/>
      <c r="AB68" s="7"/>
      <c r="AC68" s="7"/>
      <c r="AD68" s="7"/>
      <c r="AE68" s="7"/>
      <c r="AF68" s="7"/>
      <c r="AG68" s="7"/>
      <c r="AH68" s="7"/>
      <c r="AI68" s="7"/>
      <c r="AJ68" s="7"/>
      <c r="AK68" s="7"/>
      <c r="AL68" s="7"/>
      <c r="AM68" s="7"/>
      <c r="AN68" s="7"/>
      <c r="AO68" s="7"/>
      <c r="AP68" s="7"/>
      <c r="AQ68" s="7"/>
    </row>
    <row r="69" spans="2:43">
      <c r="B69" s="7"/>
      <c r="C69" s="7"/>
      <c r="D69" s="7"/>
      <c r="E69" s="7"/>
      <c r="F69" s="7"/>
      <c r="G69" s="7"/>
      <c r="H69" s="7"/>
      <c r="I69" s="7"/>
      <c r="J69" s="7"/>
      <c r="K69" s="7"/>
      <c r="L69" s="7"/>
      <c r="M69" s="7"/>
      <c r="N69" s="26"/>
      <c r="O69" s="7"/>
      <c r="P69" s="7"/>
      <c r="Q69" s="26"/>
      <c r="R69" s="7"/>
      <c r="S69" s="7"/>
      <c r="T69" s="7"/>
      <c r="U69" s="7"/>
      <c r="V69" s="7"/>
      <c r="W69" s="7"/>
      <c r="X69" s="7"/>
      <c r="Y69" s="7"/>
      <c r="Z69" s="7"/>
      <c r="AA69" s="7"/>
      <c r="AB69" s="7"/>
    </row>
    <row r="70" spans="2:43">
      <c r="B70" s="7"/>
      <c r="C70" s="7"/>
      <c r="D70" s="7"/>
      <c r="E70" s="7"/>
      <c r="F70" s="7"/>
      <c r="G70" s="7"/>
      <c r="H70" s="7"/>
      <c r="I70" s="7"/>
      <c r="J70" s="7"/>
      <c r="K70" s="7"/>
      <c r="L70" s="7"/>
      <c r="M70" s="7"/>
      <c r="N70" s="26"/>
      <c r="O70" s="7"/>
      <c r="P70" s="7"/>
      <c r="Q70" s="26"/>
      <c r="R70" s="7"/>
      <c r="S70" s="7"/>
      <c r="T70" s="7"/>
      <c r="U70" s="7"/>
      <c r="V70" s="7"/>
      <c r="W70" s="7"/>
      <c r="X70" s="7"/>
      <c r="Y70" s="7"/>
      <c r="Z70" s="7"/>
      <c r="AA70" s="7"/>
      <c r="AB70" s="7"/>
    </row>
    <row r="71" spans="2:43">
      <c r="B71" s="7"/>
      <c r="C71" s="7"/>
      <c r="D71" s="7"/>
      <c r="E71" s="7"/>
      <c r="F71" s="7"/>
      <c r="G71" s="7"/>
      <c r="H71" s="7"/>
      <c r="I71" s="7"/>
      <c r="J71" s="7"/>
      <c r="K71" s="7"/>
      <c r="L71" s="7"/>
      <c r="M71" s="7"/>
      <c r="N71" s="26"/>
      <c r="O71" s="7"/>
      <c r="P71" s="7"/>
      <c r="Q71" s="26"/>
      <c r="R71" s="7"/>
      <c r="S71" s="7"/>
      <c r="T71" s="7"/>
      <c r="U71" s="7"/>
      <c r="V71" s="7"/>
      <c r="W71" s="7"/>
      <c r="X71" s="7"/>
      <c r="Y71" s="7"/>
      <c r="Z71" s="7"/>
      <c r="AA71" s="7"/>
      <c r="AB71" s="7"/>
    </row>
    <row r="72" spans="2:43">
      <c r="B72" s="7"/>
      <c r="C72" s="7"/>
      <c r="D72" s="7"/>
      <c r="E72" s="7"/>
      <c r="F72" s="7"/>
      <c r="G72" s="7"/>
      <c r="H72" s="7"/>
      <c r="I72" s="7"/>
      <c r="J72" s="7"/>
      <c r="K72" s="7"/>
      <c r="L72" s="7"/>
      <c r="M72" s="7"/>
      <c r="N72" s="26"/>
      <c r="O72" s="7"/>
      <c r="P72" s="7"/>
      <c r="Q72" s="26"/>
      <c r="R72" s="7"/>
      <c r="S72" s="7"/>
      <c r="T72" s="7"/>
      <c r="U72" s="7"/>
      <c r="V72" s="7"/>
      <c r="W72" s="7"/>
      <c r="X72" s="7"/>
      <c r="Y72" s="7"/>
      <c r="Z72" s="7"/>
      <c r="AA72" s="7"/>
      <c r="AB72" s="7"/>
    </row>
  </sheetData>
  <sheetProtection algorithmName="SHA-512" hashValue="Ws18mN7l65kHuqkzEy4EvwlkAHaa45Ln5AoZFLfu0S0PBEYTX7N4x062fyVoCKOVrL3fY8fHuDzuiu0kXHEG6g==" saltValue="PRG/ooXhhvk9BfHgmEv7YQ==" spinCount="100000" sheet="1" objects="1" scenarios="1"/>
  <mergeCells count="10">
    <mergeCell ref="I23:K23"/>
    <mergeCell ref="P20:Q20"/>
    <mergeCell ref="P4:T4"/>
    <mergeCell ref="N20:O20"/>
    <mergeCell ref="Q6:R6"/>
    <mergeCell ref="Q7:R7"/>
    <mergeCell ref="Q8:R8"/>
    <mergeCell ref="Q9:R9"/>
    <mergeCell ref="Q10:R10"/>
    <mergeCell ref="Q11:R11"/>
  </mergeCells>
  <pageMargins left="0.25" right="0.25" top="0.75" bottom="0.75" header="0.3" footer="0.3"/>
  <pageSetup paperSize="9" scale="27"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CI94"/>
  <sheetViews>
    <sheetView showGridLines="0" zoomScale="60" zoomScaleNormal="60" workbookViewId="0">
      <selection activeCell="T56" sqref="T56:BC56"/>
    </sheetView>
  </sheetViews>
  <sheetFormatPr defaultColWidth="9.109375" defaultRowHeight="14.4"/>
  <cols>
    <col min="1" max="1" width="9.5546875" bestFit="1" customWidth="1"/>
    <col min="2" max="2" width="38.44140625" customWidth="1"/>
    <col min="3" max="3" width="1.88671875" customWidth="1"/>
    <col min="4" max="4" width="36.109375" style="3" customWidth="1"/>
    <col min="5" max="5" width="7.5546875" style="3" customWidth="1"/>
    <col min="6" max="6" width="3.109375" style="3" customWidth="1"/>
    <col min="7" max="7" width="14.5546875" style="3" customWidth="1"/>
    <col min="8" max="8" width="3" style="3" customWidth="1"/>
    <col min="9" max="9" width="14.88671875" style="8" customWidth="1"/>
    <col min="10" max="10" width="5.109375" style="8" customWidth="1"/>
    <col min="11" max="11" width="4.88671875" style="8" hidden="1" customWidth="1"/>
    <col min="12" max="12" width="6.5546875" style="8" hidden="1" customWidth="1"/>
    <col min="13" max="13" width="6.5546875" style="8" customWidth="1"/>
    <col min="14" max="14" width="4" style="8" customWidth="1"/>
    <col min="15" max="15" width="5.44140625" style="8" customWidth="1"/>
    <col min="16" max="16" width="1.5546875" style="8" customWidth="1"/>
    <col min="17" max="17" width="8.109375" style="3" customWidth="1"/>
    <col min="18" max="18" width="7.88671875" customWidth="1"/>
    <col min="19" max="19" width="8" customWidth="1"/>
    <col min="20" max="20" width="8.88671875" customWidth="1"/>
    <col min="21" max="21" width="7.5546875" customWidth="1"/>
    <col min="22" max="22" width="10" customWidth="1"/>
    <col min="23" max="23" width="10.109375" customWidth="1"/>
    <col min="24" max="24" width="2.5546875" style="7" customWidth="1"/>
    <col min="25" max="25" width="7.5546875" customWidth="1"/>
    <col min="26" max="26" width="8.5546875" customWidth="1"/>
    <col min="27" max="27" width="2.5546875" style="7" customWidth="1"/>
    <col min="28" max="28" width="7.5546875" customWidth="1"/>
    <col min="29" max="29" width="8.88671875" customWidth="1"/>
    <col min="30" max="30" width="2.5546875" style="7" customWidth="1"/>
    <col min="31" max="31" width="7.5546875" customWidth="1"/>
    <col min="32" max="32" width="8.5546875" customWidth="1"/>
    <col min="33" max="33" width="2.5546875" style="7" customWidth="1"/>
    <col min="34" max="34" width="7.88671875" customWidth="1"/>
    <col min="35" max="35" width="8.5546875" customWidth="1"/>
    <col min="36" max="36" width="2.5546875" style="7" customWidth="1"/>
    <col min="37" max="38" width="8.5546875" customWidth="1"/>
    <col min="39" max="39" width="3" customWidth="1"/>
    <col min="40" max="40" width="3.44140625" customWidth="1"/>
    <col min="41" max="41" width="2.5546875" customWidth="1"/>
    <col min="42" max="42" width="14.44140625" style="3" customWidth="1"/>
    <col min="43" max="44" width="12.5546875" style="3" customWidth="1"/>
    <col min="45" max="45" width="11.109375" customWidth="1"/>
    <col min="46" max="46" width="14.44140625" customWidth="1"/>
    <col min="47" max="47" width="5.44140625" customWidth="1"/>
    <col min="48" max="48" width="3.88671875" customWidth="1"/>
    <col min="49" max="49" width="4.5546875" hidden="1" customWidth="1"/>
    <col min="50" max="50" width="7.44140625" hidden="1" customWidth="1"/>
    <col min="51" max="51" width="2.44140625" hidden="1" customWidth="1"/>
    <col min="52" max="52" width="9.88671875" hidden="1" customWidth="1"/>
    <col min="53" max="53" width="7.44140625" hidden="1" customWidth="1"/>
    <col min="54" max="54" width="2.5546875" hidden="1" customWidth="1"/>
    <col min="55" max="55" width="9.44140625" hidden="1" customWidth="1"/>
    <col min="56" max="56" width="7.44140625" hidden="1" customWidth="1"/>
    <col min="57" max="57" width="2.109375" hidden="1" customWidth="1"/>
    <col min="58" max="58" width="11" hidden="1" customWidth="1"/>
    <col min="59" max="59" width="7.44140625" hidden="1" customWidth="1"/>
    <col min="60" max="60" width="5.44140625" hidden="1" customWidth="1"/>
    <col min="61" max="61" width="7.44140625" customWidth="1"/>
    <col min="62" max="62" width="24.109375" customWidth="1"/>
    <col min="63" max="63" width="11.44140625" customWidth="1"/>
    <col min="64" max="64" width="12.44140625" customWidth="1"/>
    <col min="65" max="65" width="8.44140625" customWidth="1"/>
    <col min="66" max="66" width="17.44140625" customWidth="1"/>
    <col min="67" max="67" width="9.44140625" customWidth="1"/>
    <col min="68" max="68" width="10" customWidth="1"/>
    <col min="69" max="69" width="3.44140625" customWidth="1"/>
    <col min="70" max="70" width="10.44140625" customWidth="1"/>
    <col min="71" max="71" width="14.88671875" customWidth="1"/>
    <col min="72" max="72" width="6" style="3" customWidth="1"/>
    <col min="73" max="73" width="12.5546875" style="3" customWidth="1"/>
    <col min="74" max="74" width="7.88671875" customWidth="1"/>
    <col min="75" max="75" width="2.44140625" customWidth="1"/>
    <col min="76" max="77" width="8" customWidth="1"/>
  </cols>
  <sheetData>
    <row r="1" spans="1:80">
      <c r="A1" s="194"/>
      <c r="B1" s="194"/>
      <c r="C1" s="194"/>
      <c r="D1" s="194"/>
      <c r="E1" s="194"/>
      <c r="F1" s="194"/>
      <c r="G1" s="194"/>
      <c r="H1" s="194"/>
      <c r="I1" s="194"/>
      <c r="J1" s="194"/>
      <c r="K1" s="194"/>
      <c r="L1" s="194"/>
      <c r="M1" s="194"/>
      <c r="N1" s="277"/>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row>
    <row r="2" spans="1:80" ht="24.75" customHeight="1">
      <c r="A2" s="194"/>
      <c r="B2" s="316" t="s">
        <v>152</v>
      </c>
      <c r="C2" s="194"/>
      <c r="D2" s="194"/>
      <c r="E2" s="194"/>
      <c r="F2" s="194"/>
      <c r="G2" s="194"/>
      <c r="H2" s="194"/>
      <c r="I2" s="194"/>
      <c r="J2" s="194"/>
      <c r="K2" s="194"/>
      <c r="L2" s="194"/>
      <c r="M2" s="194"/>
      <c r="N2" s="277"/>
      <c r="O2" s="194"/>
      <c r="P2" s="194"/>
      <c r="Q2" s="194"/>
      <c r="R2" s="316" t="s">
        <v>153</v>
      </c>
      <c r="S2" s="194"/>
      <c r="T2" s="194"/>
      <c r="U2" s="194"/>
      <c r="V2" s="194"/>
      <c r="W2" s="209" t="s">
        <v>148</v>
      </c>
      <c r="X2" s="299"/>
      <c r="Y2" s="299"/>
      <c r="Z2" s="299"/>
      <c r="AA2" s="299"/>
      <c r="AB2" s="231"/>
      <c r="AC2" s="210" t="s">
        <v>201</v>
      </c>
      <c r="AD2" s="210"/>
      <c r="AE2" s="1929" t="s">
        <v>202</v>
      </c>
      <c r="AF2" s="1930"/>
      <c r="AG2" s="193"/>
      <c r="AH2" s="193"/>
      <c r="AI2" s="193"/>
      <c r="AJ2" s="209"/>
      <c r="AK2" s="299"/>
      <c r="AL2" s="299"/>
      <c r="AM2" s="299"/>
      <c r="AN2" s="299"/>
      <c r="AO2" s="299"/>
      <c r="AP2" s="299" t="s">
        <v>158</v>
      </c>
      <c r="AQ2" s="299"/>
      <c r="AR2" s="516"/>
      <c r="AS2" s="193"/>
      <c r="AT2" s="193"/>
      <c r="AU2" s="193"/>
      <c r="AV2" s="193"/>
      <c r="AW2" s="193"/>
      <c r="AX2" s="193"/>
      <c r="AY2" s="193"/>
      <c r="AZ2" s="193"/>
      <c r="BA2" s="193"/>
      <c r="BB2" s="193"/>
      <c r="BC2" s="193"/>
      <c r="BD2" s="193"/>
      <c r="BE2" s="193"/>
      <c r="BF2" s="193"/>
      <c r="BG2" s="193"/>
      <c r="BH2" s="193"/>
      <c r="BI2" s="193"/>
      <c r="BJ2" s="193"/>
    </row>
    <row r="3" spans="1:80" s="4" customFormat="1" ht="20.25" customHeight="1" thickBot="1">
      <c r="A3" s="194"/>
      <c r="B3" s="317"/>
      <c r="C3" s="194"/>
      <c r="D3" s="194"/>
      <c r="E3" s="194"/>
      <c r="F3" s="194"/>
      <c r="G3" s="194"/>
      <c r="H3" s="194"/>
      <c r="I3" s="194"/>
      <c r="J3" s="194"/>
      <c r="K3" s="194"/>
      <c r="L3" s="194"/>
      <c r="M3" s="194"/>
      <c r="N3" s="277"/>
      <c r="O3" s="194"/>
      <c r="P3" s="194"/>
      <c r="Q3" s="317"/>
      <c r="R3" s="194"/>
      <c r="S3" s="194"/>
      <c r="T3" s="194"/>
      <c r="U3" s="194"/>
      <c r="V3" s="194"/>
      <c r="W3" s="308"/>
      <c r="X3" s="304"/>
      <c r="Y3" s="304"/>
      <c r="Z3" s="304"/>
      <c r="AA3" s="304"/>
      <c r="AB3" s="304"/>
      <c r="AC3" s="303" t="s">
        <v>154</v>
      </c>
      <c r="AD3" s="304"/>
      <c r="AE3" s="161"/>
      <c r="AF3" s="309" t="s">
        <v>154</v>
      </c>
      <c r="AG3" s="317"/>
      <c r="AH3" s="317"/>
      <c r="AI3" s="317"/>
      <c r="AJ3" s="228"/>
      <c r="AK3" s="263"/>
      <c r="AL3" s="263"/>
      <c r="AM3" s="263"/>
      <c r="AN3" s="263"/>
      <c r="AO3" s="263"/>
      <c r="AP3" s="263"/>
      <c r="AQ3" s="32"/>
      <c r="AR3" s="517"/>
      <c r="AS3" s="317"/>
      <c r="AT3" s="317"/>
      <c r="AU3" s="317"/>
      <c r="AV3" s="317"/>
      <c r="AW3" s="317"/>
      <c r="AX3" s="1936"/>
      <c r="AY3" s="1936"/>
      <c r="AZ3" s="1936"/>
      <c r="BA3" s="1936"/>
      <c r="BB3" s="1936"/>
      <c r="BC3" s="1936"/>
      <c r="BD3" s="322"/>
      <c r="BE3" s="322"/>
      <c r="BF3" s="207"/>
      <c r="BG3" s="317"/>
      <c r="BH3" s="317"/>
      <c r="BI3" s="317"/>
      <c r="BJ3" s="317"/>
      <c r="BK3" s="14"/>
      <c r="BL3" s="4" t="s">
        <v>155</v>
      </c>
      <c r="BV3" s="17"/>
      <c r="BW3" s="17"/>
    </row>
    <row r="4" spans="1:80" s="4" customFormat="1" ht="19.5" customHeight="1" thickBot="1">
      <c r="A4" s="194"/>
      <c r="B4" s="194"/>
      <c r="C4" s="194"/>
      <c r="D4" s="194"/>
      <c r="E4" s="194"/>
      <c r="F4" s="194"/>
      <c r="G4" s="194"/>
      <c r="H4" s="194"/>
      <c r="I4" s="194"/>
      <c r="J4" s="194"/>
      <c r="K4" s="194"/>
      <c r="L4" s="194"/>
      <c r="M4" s="194"/>
      <c r="N4" s="277"/>
      <c r="O4" s="194"/>
      <c r="P4" s="194"/>
      <c r="Q4" s="194"/>
      <c r="R4" s="194"/>
      <c r="S4" s="194"/>
      <c r="T4" s="194"/>
      <c r="U4" s="194"/>
      <c r="V4" s="194"/>
      <c r="W4" s="310" t="s">
        <v>35</v>
      </c>
      <c r="X4" s="306"/>
      <c r="Y4" s="306"/>
      <c r="Z4" s="306"/>
      <c r="AA4" s="306"/>
      <c r="AB4" s="306"/>
      <c r="AC4" s="307">
        <f>VLOOKUP('   ASK    '!$K$11,'Data source'!$B$190:$C$199,2,FALSE)</f>
        <v>68</v>
      </c>
      <c r="AD4" s="206"/>
      <c r="AE4" s="206"/>
      <c r="AF4" s="311">
        <f>VLOOKUP('   ASK    '!$K$11,'Data source'!$B$190:$C$199,2,FALSE)</f>
        <v>68</v>
      </c>
      <c r="AG4" s="321"/>
      <c r="AH4" s="317"/>
      <c r="AI4" s="317"/>
      <c r="AJ4" s="559"/>
      <c r="AK4" s="306" t="s">
        <v>238</v>
      </c>
      <c r="AL4" s="317"/>
      <c r="AM4" s="317"/>
      <c r="AN4" s="317"/>
      <c r="AO4" s="317"/>
      <c r="AP4" s="317"/>
      <c r="AQ4" s="441"/>
      <c r="AR4" s="517"/>
      <c r="AS4" s="317"/>
      <c r="AT4" s="317"/>
      <c r="AU4" s="317"/>
      <c r="AV4" s="317"/>
      <c r="AW4" s="317"/>
      <c r="AX4" s="323"/>
      <c r="AY4" s="323"/>
      <c r="AZ4" s="323"/>
      <c r="BA4" s="323"/>
      <c r="BB4" s="323"/>
      <c r="BC4" s="324"/>
      <c r="BD4" s="324"/>
      <c r="BE4" s="324"/>
      <c r="BF4" s="217"/>
      <c r="BG4" s="317"/>
      <c r="BH4" s="317"/>
      <c r="BI4" s="317"/>
      <c r="BJ4" s="317"/>
      <c r="BK4" s="14"/>
      <c r="BV4" s="17"/>
      <c r="BW4" s="17"/>
    </row>
    <row r="5" spans="1:80" ht="18.75" customHeight="1" thickBot="1">
      <c r="A5" s="194"/>
      <c r="B5" s="194"/>
      <c r="C5" s="194"/>
      <c r="D5" s="194"/>
      <c r="E5" s="194"/>
      <c r="F5" s="194"/>
      <c r="G5" s="194"/>
      <c r="H5" s="194"/>
      <c r="I5" s="194"/>
      <c r="J5" s="194"/>
      <c r="K5" s="194"/>
      <c r="L5" s="194"/>
      <c r="M5" s="194"/>
      <c r="N5" s="277"/>
      <c r="O5" s="194"/>
      <c r="P5" s="194"/>
      <c r="Q5" s="194"/>
      <c r="R5" s="194"/>
      <c r="S5" s="194"/>
      <c r="T5" s="194"/>
      <c r="U5" s="194"/>
      <c r="V5" s="194"/>
      <c r="W5" s="312" t="s">
        <v>47</v>
      </c>
      <c r="X5" s="305"/>
      <c r="Y5" s="305"/>
      <c r="Z5" s="305"/>
      <c r="AA5" s="305"/>
      <c r="AB5" s="305"/>
      <c r="AC5" s="227" t="e">
        <f>$G$9*$BM$11</f>
        <v>#N/A</v>
      </c>
      <c r="AD5" s="304"/>
      <c r="AE5" s="161"/>
      <c r="AF5" s="313" t="e">
        <f>$K$9*$BN$11</f>
        <v>#N/A</v>
      </c>
      <c r="AG5" s="193"/>
      <c r="AH5" s="193"/>
      <c r="AI5" s="193"/>
      <c r="AJ5" s="228"/>
      <c r="AK5" s="452" t="s">
        <v>239</v>
      </c>
      <c r="AL5" s="452"/>
      <c r="AM5" s="452"/>
      <c r="AN5" s="452"/>
      <c r="AO5" s="452"/>
      <c r="AP5" s="452"/>
      <c r="AQ5" s="229"/>
      <c r="AR5" s="517"/>
      <c r="AS5" s="193"/>
      <c r="AT5" s="193"/>
      <c r="AU5" s="193"/>
      <c r="AV5" s="193"/>
      <c r="AW5" s="193"/>
      <c r="AX5" s="325"/>
      <c r="AY5" s="325"/>
      <c r="AZ5" s="325"/>
      <c r="BA5" s="325"/>
      <c r="BB5" s="325"/>
      <c r="BC5" s="326"/>
      <c r="BD5" s="326"/>
      <c r="BE5" s="326"/>
      <c r="BF5" s="217"/>
      <c r="BG5" s="193"/>
      <c r="BH5" s="193"/>
      <c r="BI5" s="194"/>
      <c r="BJ5" s="193"/>
      <c r="BK5" s="14"/>
      <c r="BL5" s="7"/>
      <c r="BM5" s="7"/>
      <c r="BN5" s="7"/>
      <c r="BO5" s="7"/>
      <c r="BP5" s="7"/>
      <c r="BQ5" s="7"/>
      <c r="BR5" s="7"/>
      <c r="BS5" s="7"/>
      <c r="BT5" s="7"/>
      <c r="BU5" s="7"/>
      <c r="BV5" s="8"/>
      <c r="BW5" s="8"/>
      <c r="BX5" s="7"/>
    </row>
    <row r="6" spans="1:80" ht="22.5" customHeight="1" thickBot="1">
      <c r="A6" s="194"/>
      <c r="B6" s="396" t="s">
        <v>150</v>
      </c>
      <c r="C6" s="551"/>
      <c r="D6" s="556"/>
      <c r="E6" s="556"/>
      <c r="F6" s="557"/>
      <c r="G6" s="454" t="s">
        <v>201</v>
      </c>
      <c r="H6" s="557"/>
      <c r="I6" s="569" t="s">
        <v>202</v>
      </c>
      <c r="J6" s="558"/>
      <c r="K6" s="176"/>
      <c r="L6" s="75"/>
      <c r="M6" s="194"/>
      <c r="N6" s="277"/>
      <c r="O6" s="194"/>
      <c r="P6" s="194"/>
      <c r="Q6" s="194"/>
      <c r="R6" s="394"/>
      <c r="S6" s="194"/>
      <c r="T6" s="194"/>
      <c r="U6" s="194"/>
      <c r="V6" s="194"/>
      <c r="W6" s="310" t="s">
        <v>48</v>
      </c>
      <c r="X6" s="306"/>
      <c r="Y6" s="306"/>
      <c r="Z6" s="306"/>
      <c r="AA6" s="306"/>
      <c r="AB6" s="306"/>
      <c r="AC6" s="307">
        <f>IF($G$11&lt;0,$BR$8,IF($G$11&gt;0,$BR$9,0))</f>
        <v>-4.8692000000000002</v>
      </c>
      <c r="AD6" s="206"/>
      <c r="AE6" s="206"/>
      <c r="AF6" s="311">
        <f>IF($K$11&lt;0,$BS$8,IF($K$11&gt;0,$BS$9,0))</f>
        <v>0</v>
      </c>
      <c r="AG6" s="193"/>
      <c r="AH6" s="193"/>
      <c r="AI6" s="193"/>
      <c r="AJ6" s="559"/>
      <c r="AK6" s="306" t="s">
        <v>240</v>
      </c>
      <c r="AL6" s="451"/>
      <c r="AM6" s="451"/>
      <c r="AN6" s="451"/>
      <c r="AO6" s="451"/>
      <c r="AP6" s="451"/>
      <c r="AQ6" s="410"/>
      <c r="AR6" s="517"/>
      <c r="AS6" s="193"/>
      <c r="AT6" s="193"/>
      <c r="AU6" s="193"/>
      <c r="AV6" s="193"/>
      <c r="AW6" s="193"/>
      <c r="AX6" s="193"/>
      <c r="AY6" s="193"/>
      <c r="AZ6" s="193"/>
      <c r="BA6" s="193"/>
      <c r="BB6" s="193"/>
      <c r="BC6" s="193"/>
      <c r="BD6" s="193"/>
      <c r="BE6" s="193"/>
      <c r="BF6" s="193"/>
      <c r="BG6" s="193"/>
      <c r="BH6" s="193"/>
      <c r="BI6" s="194"/>
      <c r="BJ6" s="193"/>
      <c r="BK6" s="14"/>
      <c r="BL6" s="7"/>
      <c r="BM6" s="7" t="s">
        <v>110</v>
      </c>
      <c r="BN6" s="7" t="s">
        <v>111</v>
      </c>
      <c r="BO6" s="7"/>
      <c r="BP6" s="7"/>
      <c r="BR6" s="7" t="s">
        <v>110</v>
      </c>
      <c r="BS6" s="7" t="s">
        <v>111</v>
      </c>
      <c r="BT6" s="7"/>
      <c r="BU6" s="9"/>
      <c r="BV6" s="3" t="s">
        <v>110</v>
      </c>
      <c r="BX6" s="3" t="s">
        <v>111</v>
      </c>
    </row>
    <row r="7" spans="1:80" ht="20.25" customHeight="1" thickBot="1">
      <c r="A7" s="194"/>
      <c r="B7" s="549"/>
      <c r="C7" s="552"/>
      <c r="D7" s="378" t="s">
        <v>63</v>
      </c>
      <c r="E7" s="379"/>
      <c r="F7" s="75"/>
      <c r="G7" s="229" t="s">
        <v>64</v>
      </c>
      <c r="H7" s="75"/>
      <c r="I7" s="444" t="s">
        <v>64</v>
      </c>
      <c r="J7" s="462"/>
      <c r="K7" s="177" t="str">
        <f>IF($I7="-",$G7,$I7)</f>
        <v>mid</v>
      </c>
      <c r="L7" s="178"/>
      <c r="M7" s="194"/>
      <c r="N7" s="277"/>
      <c r="O7" s="194"/>
      <c r="P7" s="194"/>
      <c r="Q7" s="194"/>
      <c r="R7" s="194"/>
      <c r="S7" s="194"/>
      <c r="T7" s="194"/>
      <c r="U7" s="194"/>
      <c r="V7" s="194"/>
      <c r="W7" s="312" t="s">
        <v>40</v>
      </c>
      <c r="X7" s="305"/>
      <c r="Y7" s="305"/>
      <c r="Z7" s="305"/>
      <c r="AA7" s="305"/>
      <c r="AB7" s="305"/>
      <c r="AC7" s="227">
        <f ca="1">BM12</f>
        <v>51</v>
      </c>
      <c r="AD7" s="304"/>
      <c r="AE7" s="161"/>
      <c r="AF7" s="313">
        <f ca="1">BN12</f>
        <v>51</v>
      </c>
      <c r="AG7" s="193"/>
      <c r="AH7" s="193"/>
      <c r="AI7" s="193"/>
      <c r="AJ7" s="228"/>
      <c r="AK7" s="452" t="s">
        <v>160</v>
      </c>
      <c r="AL7" s="452"/>
      <c r="AM7" s="452"/>
      <c r="AN7" s="452"/>
      <c r="AO7" s="452"/>
      <c r="AP7" s="452"/>
      <c r="AQ7" s="395">
        <v>10</v>
      </c>
      <c r="AR7" s="517"/>
      <c r="AS7" s="193"/>
      <c r="AT7" s="193"/>
      <c r="AU7" s="193"/>
      <c r="AV7" s="193"/>
      <c r="AW7" s="193"/>
      <c r="AX7" s="193"/>
      <c r="AY7" s="193"/>
      <c r="AZ7" s="193"/>
      <c r="BA7" s="193"/>
      <c r="BB7" s="193"/>
      <c r="BC7" s="193"/>
      <c r="BD7" s="193"/>
      <c r="BE7" s="193"/>
      <c r="BF7" s="193"/>
      <c r="BG7" s="193"/>
      <c r="BH7" s="193"/>
      <c r="BI7" s="194"/>
      <c r="BJ7" s="193"/>
      <c r="BK7" s="14"/>
      <c r="BL7" s="34" t="s">
        <v>83</v>
      </c>
      <c r="BM7" s="35">
        <f>VLOOKUP(G7,'Data source'!$B$251:$AN$255,2,FALSE)</f>
        <v>16</v>
      </c>
      <c r="BN7" s="35">
        <f>VLOOKUP(K7,'Data source'!$B$251:$AN$255,2,FALSE)</f>
        <v>16</v>
      </c>
      <c r="BP7" s="34" t="s">
        <v>82</v>
      </c>
      <c r="BR7" s="37">
        <f>ABS('   ASK    '!$K$11*0.0658*$G$11)/30</f>
        <v>0.13159999999999999</v>
      </c>
      <c r="BS7" s="37">
        <f>ABS('   ASK    '!$K$11*0.0658*$K$11)/30</f>
        <v>0</v>
      </c>
      <c r="BT7"/>
      <c r="BU7" s="46" t="s">
        <v>85</v>
      </c>
      <c r="BV7" s="47" t="e">
        <f>$V$15/$S$52</f>
        <v>#N/A</v>
      </c>
      <c r="BX7" s="47" t="e">
        <f>$W$17/S53</f>
        <v>#N/A</v>
      </c>
      <c r="BY7" s="34"/>
      <c r="BZ7" s="29"/>
      <c r="CB7" s="29"/>
    </row>
    <row r="8" spans="1:80" ht="19.5" customHeight="1" thickBot="1">
      <c r="A8" s="194"/>
      <c r="B8" s="549"/>
      <c r="C8" s="552"/>
      <c r="D8" s="526" t="s">
        <v>127</v>
      </c>
      <c r="E8" s="380"/>
      <c r="F8" s="75"/>
      <c r="G8" s="229">
        <v>130</v>
      </c>
      <c r="H8" s="75"/>
      <c r="I8" s="410">
        <v>150</v>
      </c>
      <c r="J8" s="462"/>
      <c r="K8" s="179">
        <f>IF(I8&gt;0,I8,G8)</f>
        <v>150</v>
      </c>
      <c r="L8" s="180"/>
      <c r="M8" s="194"/>
      <c r="N8" s="277"/>
      <c r="O8" s="194"/>
      <c r="P8" s="194"/>
      <c r="Q8" s="213"/>
      <c r="R8" s="194"/>
      <c r="S8" s="194"/>
      <c r="T8" s="194"/>
      <c r="U8" s="194"/>
      <c r="V8" s="194"/>
      <c r="W8" s="310" t="s">
        <v>46</v>
      </c>
      <c r="X8" s="306"/>
      <c r="Y8" s="306"/>
      <c r="Z8" s="306"/>
      <c r="AA8" s="306"/>
      <c r="AB8" s="306"/>
      <c r="AC8" s="307" t="e">
        <f>$BM$13*'   ASK    '!#REF!</f>
        <v>#REF!</v>
      </c>
      <c r="AD8" s="206"/>
      <c r="AE8" s="206"/>
      <c r="AF8" s="311" t="e">
        <f>$BN$13*'   ASK    '!#REF!</f>
        <v>#REF!</v>
      </c>
      <c r="AG8" s="193"/>
      <c r="AH8" s="193"/>
      <c r="AI8" s="193"/>
      <c r="AJ8" s="560"/>
      <c r="AK8" s="518" t="s">
        <v>190</v>
      </c>
      <c r="AL8" s="519"/>
      <c r="AM8" s="519"/>
      <c r="AN8" s="519"/>
      <c r="AO8" s="519"/>
      <c r="AP8" s="519"/>
      <c r="AQ8" s="520"/>
      <c r="AR8" s="521"/>
      <c r="AS8" s="193"/>
      <c r="AT8" s="193"/>
      <c r="AU8" s="193"/>
      <c r="AV8" s="193"/>
      <c r="AW8" s="193"/>
      <c r="AX8" s="193"/>
      <c r="AY8" s="193"/>
      <c r="AZ8" s="193"/>
      <c r="BA8" s="193"/>
      <c r="BB8" s="193"/>
      <c r="BC8" s="193"/>
      <c r="BD8" s="193"/>
      <c r="BE8" s="193"/>
      <c r="BF8" s="193"/>
      <c r="BG8" s="193"/>
      <c r="BH8" s="193"/>
      <c r="BI8" s="194"/>
      <c r="BJ8" s="193"/>
      <c r="BK8" s="14"/>
      <c r="BL8" s="34" t="s">
        <v>68</v>
      </c>
      <c r="BM8" s="35" t="str">
        <f xml:space="preserve"> IF('   ASK    '!$K$8="Jersey","j",IF('   ASK    '!$K$8="Friesian","f",IF('   ASK    '!$K$8="cross-bred","x","-")))</f>
        <v>f</v>
      </c>
      <c r="BN8" s="35" t="str">
        <f xml:space="preserve"> IF('   ASK    '!$K$8="Jersey","j",IF('   ASK    '!$K$8="Friesian","f",IF('   ASK    '!$K$8="cross-bred","x","-")))</f>
        <v>f</v>
      </c>
      <c r="BP8" s="34" t="s">
        <v>80</v>
      </c>
      <c r="BR8" s="38">
        <f xml:space="preserve"> IF($G$7="dry",$BR$7*-30,$BR$7*-37)</f>
        <v>-4.8692000000000002</v>
      </c>
      <c r="BS8" s="38">
        <f xml:space="preserve"> IF($K$7="dry",$BS$7*-30,$BS$7*-37)</f>
        <v>0</v>
      </c>
      <c r="BT8"/>
      <c r="BU8" s="34" t="s">
        <v>87</v>
      </c>
      <c r="BV8" s="49" t="e">
        <f>$AC$9/$BV$7</f>
        <v>#N/A</v>
      </c>
      <c r="BX8" s="49" t="e">
        <f>AF9/$BX$7</f>
        <v>#N/A</v>
      </c>
      <c r="BY8" s="34"/>
    </row>
    <row r="9" spans="1:80" ht="19.5" customHeight="1" thickBot="1">
      <c r="A9" s="194"/>
      <c r="B9" s="549"/>
      <c r="C9" s="552"/>
      <c r="D9" s="378" t="s">
        <v>198</v>
      </c>
      <c r="E9" s="379"/>
      <c r="F9" s="75"/>
      <c r="G9" s="229">
        <v>1.2</v>
      </c>
      <c r="H9" s="75"/>
      <c r="I9" s="410">
        <v>1.1000000000000001</v>
      </c>
      <c r="J9" s="462"/>
      <c r="K9" s="177">
        <f>IF(I9&gt;0,I9,G9)</f>
        <v>1.1000000000000001</v>
      </c>
      <c r="L9" s="178"/>
      <c r="M9" s="194"/>
      <c r="N9" s="277"/>
      <c r="O9" s="193"/>
      <c r="P9" s="193"/>
      <c r="Q9" s="193"/>
      <c r="R9" s="193"/>
      <c r="S9" s="193"/>
      <c r="T9" s="193"/>
      <c r="U9" s="193"/>
      <c r="V9" s="193"/>
      <c r="W9" s="300" t="s">
        <v>3</v>
      </c>
      <c r="X9" s="314"/>
      <c r="Y9" s="314"/>
      <c r="Z9" s="314"/>
      <c r="AA9" s="314"/>
      <c r="AB9" s="314"/>
      <c r="AC9" s="301" t="e">
        <f>SUM(AC4:AC8)</f>
        <v>#N/A</v>
      </c>
      <c r="AD9" s="314"/>
      <c r="AE9" s="315"/>
      <c r="AF9" s="302" t="e">
        <f>SUM(AF4:AF8)</f>
        <v>#N/A</v>
      </c>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4"/>
      <c r="BJ9" s="193"/>
      <c r="BK9" s="14"/>
      <c r="BL9" s="36" t="s">
        <v>76</v>
      </c>
      <c r="BM9" s="39" t="e">
        <f>IF($BV$7&lt;10.5,1,IF(AND($BV$7&gt;10.5,$BV$7&lt;11.5),2,IF($BV$7&gt;11.5,3,FALSE)))</f>
        <v>#N/A</v>
      </c>
      <c r="BN9" s="39" t="e">
        <f>IF($BX$7&lt;10.5,1,IF(AND($BX$7&gt;10.5,$BX$7&lt;11.5),2,IF($BX$7&gt;11.5,3,FALSE)))</f>
        <v>#N/A</v>
      </c>
      <c r="BP9" s="34" t="s">
        <v>81</v>
      </c>
      <c r="BR9" s="38">
        <f>IF($G$7="dry",$BR$7*72,$BR$7*50)</f>
        <v>6.58</v>
      </c>
      <c r="BS9" s="38">
        <f>IF($K$7="dry",$BS$7*72,$BS$7*50)</f>
        <v>0</v>
      </c>
      <c r="BT9"/>
      <c r="BU9" s="34" t="s">
        <v>86</v>
      </c>
      <c r="BV9" s="50" t="e">
        <f>V15-$AC$9</f>
        <v>#N/A</v>
      </c>
      <c r="BX9" s="49" t="e">
        <f>$W$17-AF9</f>
        <v>#N/A</v>
      </c>
      <c r="BY9" s="34"/>
    </row>
    <row r="10" spans="1:80" ht="20.25" customHeight="1" thickBot="1">
      <c r="A10" s="194"/>
      <c r="B10" s="549"/>
      <c r="C10" s="552"/>
      <c r="D10" s="526" t="s">
        <v>147</v>
      </c>
      <c r="E10" s="380"/>
      <c r="F10" s="75"/>
      <c r="G10" s="229">
        <v>3</v>
      </c>
      <c r="H10" s="75"/>
      <c r="I10" s="410">
        <v>3</v>
      </c>
      <c r="J10" s="462"/>
      <c r="K10" s="177">
        <f>IF(I10&gt;0,I10,G10)</f>
        <v>3</v>
      </c>
      <c r="L10" s="178"/>
      <c r="M10" s="194"/>
      <c r="N10" s="277"/>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4"/>
      <c r="BJ10" s="193"/>
      <c r="BK10" s="14"/>
      <c r="BL10" s="34" t="s">
        <v>77</v>
      </c>
      <c r="BM10" s="77">
        <f ca="1">IF('   ASK    '!$S$34&gt;12,"12+",'   ASK    '!$S$34)</f>
        <v>-353.57142857142856</v>
      </c>
      <c r="BN10" s="77">
        <f ca="1">IF('   ASK    '!$S$34&gt;12,"12+",'   ASK    '!$S$34)</f>
        <v>-353.57142857142856</v>
      </c>
      <c r="BP10" s="34" t="s">
        <v>84</v>
      </c>
      <c r="BR10" s="40" t="e">
        <f>BV10</f>
        <v>#N/A</v>
      </c>
      <c r="BS10" s="40" t="e">
        <f>BX10</f>
        <v>#N/A</v>
      </c>
      <c r="BT10"/>
      <c r="BU10" s="34" t="s">
        <v>50</v>
      </c>
      <c r="BV10" s="50" t="e">
        <f>$BV$9/$BV$7</f>
        <v>#N/A</v>
      </c>
      <c r="BX10" s="50" t="e">
        <f>$BX$9/$BX$7</f>
        <v>#N/A</v>
      </c>
      <c r="BY10" s="34"/>
      <c r="BZ10" s="4"/>
      <c r="CA10" s="34"/>
      <c r="CB10" s="4"/>
    </row>
    <row r="11" spans="1:80" ht="21.75" customHeight="1" thickBot="1">
      <c r="A11" s="194"/>
      <c r="B11" s="549"/>
      <c r="C11" s="553"/>
      <c r="D11" s="378" t="s">
        <v>188</v>
      </c>
      <c r="E11" s="297"/>
      <c r="F11" s="75"/>
      <c r="G11" s="435">
        <v>-0.1</v>
      </c>
      <c r="H11" s="75"/>
      <c r="I11" s="410">
        <v>0</v>
      </c>
      <c r="J11" s="462"/>
      <c r="K11" s="177">
        <f>IF($I11="-",$G11,$I11)</f>
        <v>0</v>
      </c>
      <c r="L11" s="178"/>
      <c r="M11" s="194"/>
      <c r="N11" s="277"/>
      <c r="O11" s="214"/>
      <c r="P11" s="264" t="s">
        <v>174</v>
      </c>
      <c r="Q11" s="267"/>
      <c r="R11" s="265"/>
      <c r="S11" s="265"/>
      <c r="T11" s="265"/>
      <c r="U11" s="265"/>
      <c r="V11" s="265"/>
      <c r="W11" s="265"/>
      <c r="X11" s="265"/>
      <c r="Y11" s="265"/>
      <c r="Z11" s="265"/>
      <c r="AA11" s="265"/>
      <c r="AB11" s="265"/>
      <c r="AC11" s="265"/>
      <c r="AD11" s="265"/>
      <c r="AE11" s="265"/>
      <c r="AF11" s="265"/>
      <c r="AG11" s="265"/>
      <c r="AH11" s="265"/>
      <c r="AI11" s="202"/>
      <c r="AJ11" s="202"/>
      <c r="AK11" s="199"/>
      <c r="AL11" s="202"/>
      <c r="AM11" s="202"/>
      <c r="AN11" s="202"/>
      <c r="AO11" s="264" t="s">
        <v>175</v>
      </c>
      <c r="AP11" s="266"/>
      <c r="AQ11" s="267"/>
      <c r="AR11" s="265"/>
      <c r="AS11" s="265"/>
      <c r="AT11" s="202"/>
      <c r="AU11" s="193"/>
      <c r="AV11" s="193"/>
      <c r="AW11" s="193"/>
      <c r="AX11" s="193"/>
      <c r="AY11" s="193"/>
      <c r="AZ11" s="193"/>
      <c r="BA11" s="193"/>
      <c r="BB11" s="193"/>
      <c r="BC11" s="194"/>
      <c r="BD11" s="194"/>
      <c r="BE11" s="194"/>
      <c r="BF11" s="194"/>
      <c r="BG11" s="194"/>
      <c r="BH11" s="194"/>
      <c r="BI11" s="194"/>
      <c r="BJ11" s="193"/>
      <c r="BK11" s="14"/>
      <c r="BL11" s="34" t="s">
        <v>78</v>
      </c>
      <c r="BM11" s="35" t="e">
        <f>IF(AND($BM$9=1,$BM$8="j"),76,IF(AND($BM$9=2,$BM$8="j"),73,IF(AND($BM$9=3,$BM$8="j"),70,IF(AND($BM$9=1,$BM$8="x"),79,IF(AND($BM$9=2,$BM$8="x"),75,IF(AND($BM$9=3,$BM$8="x"),73,IF(AND($BM$9=1,$BM$8="f"),81,IF(AND($BM$9=2,$BM$8="f"),77,IF(AND($BM$9=3,$BM$8="f"),75,FALSE)))))))))</f>
        <v>#N/A</v>
      </c>
      <c r="BN11" s="35" t="e">
        <f>IF(AND($BN$9=1,$BN$8="j"),76,IF(AND($BN$9=2,$BN$8="j"),73,IF(AND($BN$9=3,$BN$8="j"),70,IF(AND($BN$9=1,$BN$8="x"),79,IF(AND($BN$9=2,$BN$8="x"),75,IF(AND($BN$9=3,$BN$8="x"),73,IF(AND($BN$9=1,$BN$8="f"),81,IF(AND($BN$9=2,$BN$8="f"),77,IF(AND($BN$9=3,$BN$8="f"),75,FALSE)))))))))</f>
        <v>#N/A</v>
      </c>
      <c r="BP11" s="34" t="s">
        <v>95</v>
      </c>
      <c r="BR11" s="41">
        <v>0.35</v>
      </c>
      <c r="BS11" s="41">
        <v>0.35</v>
      </c>
      <c r="BT11"/>
      <c r="BU11"/>
      <c r="BV11" s="3"/>
      <c r="BW11" s="3"/>
    </row>
    <row r="12" spans="1:80" ht="26.25" customHeight="1">
      <c r="A12" s="194"/>
      <c r="B12" s="550"/>
      <c r="C12" s="554"/>
      <c r="D12" s="554"/>
      <c r="E12" s="554"/>
      <c r="F12" s="554"/>
      <c r="G12" s="554"/>
      <c r="H12" s="554"/>
      <c r="I12" s="554"/>
      <c r="J12" s="555"/>
      <c r="K12" s="194"/>
      <c r="L12" s="194"/>
      <c r="M12" s="194"/>
      <c r="N12" s="277"/>
      <c r="O12" s="194"/>
      <c r="P12" s="268"/>
      <c r="Q12" s="276"/>
      <c r="R12" s="278"/>
      <c r="S12" s="278"/>
      <c r="T12" s="269" t="s">
        <v>120</v>
      </c>
      <c r="U12" s="279" t="s">
        <v>166</v>
      </c>
      <c r="V12" s="269" t="s">
        <v>235</v>
      </c>
      <c r="W12" s="269" t="s">
        <v>236</v>
      </c>
      <c r="X12" s="280"/>
      <c r="Y12" s="280"/>
      <c r="Z12" s="269" t="s">
        <v>142</v>
      </c>
      <c r="AA12" s="280"/>
      <c r="AB12" s="280"/>
      <c r="AC12" s="269" t="s">
        <v>12</v>
      </c>
      <c r="AD12" s="269"/>
      <c r="AE12" s="280"/>
      <c r="AF12" s="269" t="s">
        <v>13</v>
      </c>
      <c r="AG12" s="280"/>
      <c r="AH12" s="280"/>
      <c r="AI12" s="269" t="s">
        <v>143</v>
      </c>
      <c r="AJ12" s="269"/>
      <c r="AK12" s="281"/>
      <c r="AL12" s="269" t="s">
        <v>144</v>
      </c>
      <c r="AM12" s="280"/>
      <c r="AN12" s="199"/>
      <c r="AO12" s="280"/>
      <c r="AP12" s="269" t="s">
        <v>195</v>
      </c>
      <c r="AQ12" s="281"/>
      <c r="AR12" s="269" t="s">
        <v>194</v>
      </c>
      <c r="AS12" s="280"/>
      <c r="AT12" s="268"/>
      <c r="AU12" s="193"/>
      <c r="AV12" s="193"/>
      <c r="AW12" s="193"/>
      <c r="AX12" s="193"/>
      <c r="AY12" s="193"/>
      <c r="AZ12" s="193"/>
      <c r="BA12" s="193"/>
      <c r="BB12" s="193"/>
      <c r="BC12" s="193"/>
      <c r="BD12" s="193"/>
      <c r="BE12" s="193"/>
      <c r="BF12" s="193"/>
      <c r="BG12" s="193"/>
      <c r="BH12" s="193"/>
      <c r="BI12" s="193"/>
      <c r="BJ12" s="193"/>
      <c r="BK12" s="14"/>
      <c r="BL12" s="34" t="s">
        <v>40</v>
      </c>
      <c r="BM12" s="35">
        <f ca="1">IF($BM$10="12+",0,IF(AND($BM$10&lt;=2,$BM$8="j"),40,IF(AND($BM$10&lt;=4,$BM$8="j"),30,IF(AND($BM$10&lt;=8,$BM$8="j"),17,IF(AND($BM$10&lt;=12,$BM$8="j"),10,IF(AND($BM$10&lt;=2,$BM$8="x"),45,IF(AND($BM$10&lt;=4,$BM$8="x"),35,IF(AND($BM$10&lt;=8,$BM$8="x"),20,IF(AND($BM$10&lt;=12,$BM$8="x"),11,IF(AND($BM$10&lt;=2,$BM$8="f"),51,IF(AND($BM$10&lt;=4,$BM$8="f"),39,IF(AND($BM$10&lt;=8,$BM$8="f"),22,IF(AND($BM$10&lt;=12,$BM$8="f"),12,)))))))))))))</f>
        <v>51</v>
      </c>
      <c r="BN12" s="35">
        <f ca="1">IF($BN$10="12+",0,IF(AND($BN$10&lt;=2,$BN$8="j"),40,IF(AND($BN$10&lt;=4,$BN$8="j"),30,IF(AND($BN$10&lt;=8,$BN$8="j"),17,IF(AND($BN$10&lt;=12,$BN$8="j"),10,IF(AND($BN$10&lt;=2,$BN$8="x"),45,IF(AND($BN$10&lt;=4,$BN$8="x"),35,IF(AND($BN$10&lt;=8,$BN$8="x"),20,IF(AND($BN$10=12,$BN$8="x"),11,IF(AND($BN$10&lt;2.01,$BN$8="f"),51,IF(AND($BN$10&lt;=4,$BN$8="f"),39,IF(AND($BN$10&lt;=8,$BN$8="f"),22,IF(AND($BN$10&lt;=12,$BN$8="f"),12,)))))))))))))</f>
        <v>51</v>
      </c>
      <c r="BP12" s="34" t="s">
        <v>96</v>
      </c>
      <c r="BR12" s="41">
        <v>0.32</v>
      </c>
      <c r="BS12" s="41">
        <v>0.32</v>
      </c>
      <c r="BT12"/>
      <c r="BU12" s="34"/>
      <c r="BV12" s="48"/>
      <c r="BW12" s="48"/>
      <c r="BX12" s="34"/>
      <c r="BY12" s="7"/>
      <c r="BZ12" s="7"/>
      <c r="CA12" s="7"/>
      <c r="CB12" s="7"/>
    </row>
    <row r="13" spans="1:80" ht="20.25" customHeight="1">
      <c r="A13" s="194"/>
      <c r="B13" s="194"/>
      <c r="C13" s="194"/>
      <c r="D13" s="194"/>
      <c r="E13" s="194"/>
      <c r="F13" s="194"/>
      <c r="G13" s="194"/>
      <c r="H13" s="194"/>
      <c r="I13" s="194"/>
      <c r="J13" s="194"/>
      <c r="K13" s="194"/>
      <c r="L13" s="194"/>
      <c r="M13" s="194"/>
      <c r="N13" s="277"/>
      <c r="O13" s="194"/>
      <c r="P13" s="282"/>
      <c r="Q13" s="402" t="s">
        <v>164</v>
      </c>
      <c r="R13" s="446"/>
      <c r="S13" s="449"/>
      <c r="T13" s="57" t="e">
        <f>BV8</f>
        <v>#N/A</v>
      </c>
      <c r="U13" s="284" t="e">
        <f>BV$7</f>
        <v>#N/A</v>
      </c>
      <c r="V13" s="58" t="e">
        <f>$AC$9</f>
        <v>#N/A</v>
      </c>
      <c r="W13" s="58" t="e">
        <f>$AF$9</f>
        <v>#N/A</v>
      </c>
      <c r="X13" s="278"/>
      <c r="Y13" s="278"/>
      <c r="Z13" s="59">
        <f>BM7</f>
        <v>16</v>
      </c>
      <c r="AA13" s="278"/>
      <c r="AB13" s="278"/>
      <c r="AC13" s="59" t="s">
        <v>157</v>
      </c>
      <c r="AD13" s="271"/>
      <c r="AE13" s="278"/>
      <c r="AF13" s="59" t="s">
        <v>173</v>
      </c>
      <c r="AG13" s="271"/>
      <c r="AH13" s="278"/>
      <c r="AI13" s="60" t="s">
        <v>172</v>
      </c>
      <c r="AJ13" s="271"/>
      <c r="AK13" s="282"/>
      <c r="AL13" s="60" t="s">
        <v>165</v>
      </c>
      <c r="AM13" s="278"/>
      <c r="AN13" s="285"/>
      <c r="AO13" s="278"/>
      <c r="AP13" s="282"/>
      <c r="AQ13" s="282"/>
      <c r="AR13" s="278"/>
      <c r="AS13" s="278"/>
      <c r="AT13" s="285"/>
      <c r="AU13" s="193"/>
      <c r="AV13" s="193"/>
      <c r="AW13" s="193"/>
      <c r="AX13" s="193"/>
      <c r="AY13" s="193"/>
      <c r="AZ13" s="193"/>
      <c r="BA13" s="193"/>
      <c r="BB13" s="193"/>
      <c r="BC13" s="193"/>
      <c r="BD13" s="193"/>
      <c r="BE13" s="193"/>
      <c r="BF13" s="193"/>
      <c r="BG13" s="193"/>
      <c r="BH13" s="193"/>
      <c r="BI13" s="193"/>
      <c r="BJ13" s="193"/>
      <c r="BK13" s="14"/>
      <c r="BL13" s="34" t="s">
        <v>45</v>
      </c>
      <c r="BM13" s="37">
        <f>VLOOKUP('   ASK    '!$E$11,'Data source'!$B$209:$C$212,2,FALSE)</f>
        <v>2</v>
      </c>
      <c r="BN13" s="37">
        <f>VLOOKUP('   ASK    '!$E$11,'Data source'!$B$209:$C$212,2,FALSE)</f>
        <v>2</v>
      </c>
      <c r="BP13" s="34" t="s">
        <v>97</v>
      </c>
      <c r="BR13" s="41">
        <v>0.65</v>
      </c>
      <c r="BS13" s="41">
        <v>0.65</v>
      </c>
      <c r="BT13"/>
      <c r="BU13"/>
      <c r="BV13" s="3"/>
      <c r="BW13" s="3"/>
    </row>
    <row r="14" spans="1:80" ht="22.5" customHeight="1">
      <c r="A14" s="194"/>
      <c r="B14" s="396" t="s">
        <v>200</v>
      </c>
      <c r="C14" s="457"/>
      <c r="D14" s="391"/>
      <c r="E14" s="374"/>
      <c r="F14" s="391"/>
      <c r="G14" s="458"/>
      <c r="H14" s="391"/>
      <c r="I14" s="459"/>
      <c r="J14" s="460"/>
      <c r="K14" s="80"/>
      <c r="M14" s="194"/>
      <c r="N14" s="277"/>
      <c r="O14" s="194"/>
      <c r="P14" s="286"/>
      <c r="Q14" s="283"/>
      <c r="R14" s="287"/>
      <c r="S14" s="278"/>
      <c r="T14" s="278"/>
      <c r="U14" s="288"/>
      <c r="V14" s="278"/>
      <c r="W14" s="278"/>
      <c r="X14" s="278"/>
      <c r="Y14" s="278"/>
      <c r="Z14" s="271"/>
      <c r="AA14" s="278"/>
      <c r="AB14" s="278"/>
      <c r="AC14" s="271"/>
      <c r="AD14" s="271"/>
      <c r="AE14" s="278"/>
      <c r="AF14" s="271"/>
      <c r="AG14" s="271"/>
      <c r="AH14" s="278"/>
      <c r="AI14" s="271"/>
      <c r="AJ14" s="271"/>
      <c r="AK14" s="282"/>
      <c r="AL14" s="271"/>
      <c r="AM14" s="278"/>
      <c r="AN14" s="285"/>
      <c r="AO14" s="278"/>
      <c r="AP14" s="278"/>
      <c r="AQ14" s="278"/>
      <c r="AR14" s="278"/>
      <c r="AS14" s="278"/>
      <c r="AT14" s="285"/>
      <c r="AU14" s="193"/>
      <c r="AV14" s="193"/>
      <c r="AW14" s="193"/>
      <c r="AX14" s="193"/>
      <c r="AY14" s="193"/>
      <c r="AZ14" s="193"/>
      <c r="BA14" s="193"/>
      <c r="BB14" s="193"/>
      <c r="BC14" s="193"/>
      <c r="BD14" s="193"/>
      <c r="BE14" s="193"/>
      <c r="BF14" s="193"/>
      <c r="BG14" s="193"/>
      <c r="BH14" s="193"/>
      <c r="BI14" s="193"/>
      <c r="BJ14" s="193"/>
      <c r="BK14" s="14"/>
      <c r="BL14" s="14"/>
      <c r="BM14" s="16"/>
      <c r="BN14" s="5"/>
      <c r="BO14" s="5"/>
      <c r="BP14" s="5"/>
      <c r="BQ14" s="5"/>
      <c r="BR14" s="5"/>
      <c r="BS14" s="5"/>
      <c r="BT14" s="20"/>
      <c r="BU14" s="5"/>
      <c r="BV14" s="5"/>
      <c r="BW14" s="20"/>
      <c r="BX14" s="5"/>
    </row>
    <row r="15" spans="1:80" ht="20.25" customHeight="1" thickBot="1">
      <c r="A15" s="194"/>
      <c r="B15" s="244"/>
      <c r="C15" s="44"/>
      <c r="D15" s="456"/>
      <c r="E15" s="193"/>
      <c r="F15" s="194"/>
      <c r="G15" s="217" t="s">
        <v>154</v>
      </c>
      <c r="H15" s="194"/>
      <c r="I15" s="325" t="s">
        <v>215</v>
      </c>
      <c r="J15" s="461"/>
      <c r="K15" s="81"/>
      <c r="L15" s="71"/>
      <c r="M15" s="194"/>
      <c r="N15" s="277"/>
      <c r="O15" s="194"/>
      <c r="P15" s="286"/>
      <c r="Q15" s="447" t="s">
        <v>201</v>
      </c>
      <c r="R15" s="448"/>
      <c r="S15" s="270"/>
      <c r="T15" s="57" t="e">
        <f>S52</f>
        <v>#N/A</v>
      </c>
      <c r="U15" s="284" t="e">
        <f>BV$7</f>
        <v>#N/A</v>
      </c>
      <c r="V15" s="58" t="e">
        <f>V52</f>
        <v>#N/A</v>
      </c>
      <c r="W15" s="278"/>
      <c r="X15" s="278"/>
      <c r="Y15" s="278"/>
      <c r="Z15" s="76" t="e">
        <f>Z52</f>
        <v>#N/A</v>
      </c>
      <c r="AA15" s="278"/>
      <c r="AB15" s="278"/>
      <c r="AC15" s="61" t="e">
        <f>AC52</f>
        <v>#N/A</v>
      </c>
      <c r="AD15" s="272"/>
      <c r="AE15" s="278"/>
      <c r="AF15" s="61" t="e">
        <f>AF52</f>
        <v>#N/A</v>
      </c>
      <c r="AG15" s="272"/>
      <c r="AH15" s="278"/>
      <c r="AI15" s="61" t="e">
        <f>AI52</f>
        <v>#N/A</v>
      </c>
      <c r="AJ15" s="272"/>
      <c r="AK15" s="282"/>
      <c r="AL15" s="62" t="e">
        <f>AL52</f>
        <v>#N/A</v>
      </c>
      <c r="AM15" s="278"/>
      <c r="AN15" s="285"/>
      <c r="AO15" s="278"/>
      <c r="AP15" s="63" t="e">
        <f>AT52</f>
        <v>#N/A</v>
      </c>
      <c r="AQ15" s="282"/>
      <c r="AR15" s="64" t="e">
        <f>AQ52</f>
        <v>#N/A</v>
      </c>
      <c r="AS15" s="278"/>
      <c r="AT15" s="285"/>
      <c r="AU15" s="193"/>
      <c r="AV15" s="193"/>
      <c r="AW15" s="193"/>
      <c r="AX15" s="193"/>
      <c r="AY15" s="193"/>
      <c r="AZ15" s="193"/>
      <c r="BA15" s="193"/>
      <c r="BB15" s="193"/>
      <c r="BC15" s="194"/>
      <c r="BD15" s="194"/>
      <c r="BE15" s="194"/>
      <c r="BF15" s="194"/>
      <c r="BG15" s="194"/>
      <c r="BH15" s="194"/>
      <c r="BI15" s="194"/>
      <c r="BJ15" s="193"/>
    </row>
    <row r="16" spans="1:80" ht="19.5" customHeight="1" thickBot="1">
      <c r="A16" s="194"/>
      <c r="B16" s="244"/>
      <c r="C16" s="44"/>
      <c r="D16" s="1921" t="s">
        <v>62</v>
      </c>
      <c r="E16" s="1922"/>
      <c r="F16" s="194"/>
      <c r="G16" s="395" t="e">
        <f>IF(D16="-","",VLOOKUP(D16,'Data source'!$B$15:$I$99,3,FALSE))</f>
        <v>#N/A</v>
      </c>
      <c r="H16" s="194"/>
      <c r="I16" s="229">
        <v>9.5</v>
      </c>
      <c r="J16" s="462"/>
      <c r="K16" s="92">
        <f>IF(I16&gt;0,I16,G16)</f>
        <v>9.5</v>
      </c>
      <c r="L16" s="126" t="s">
        <v>203</v>
      </c>
      <c r="M16" s="194"/>
      <c r="N16" s="277"/>
      <c r="O16" s="194"/>
      <c r="P16" s="286"/>
      <c r="Q16" s="283"/>
      <c r="R16" s="287"/>
      <c r="S16" s="291" t="s">
        <v>216</v>
      </c>
      <c r="T16" s="292" t="e">
        <f>T15-T13</f>
        <v>#N/A</v>
      </c>
      <c r="U16" s="288"/>
      <c r="V16" s="293" t="e">
        <f>V15-V13</f>
        <v>#N/A</v>
      </c>
      <c r="W16" s="278"/>
      <c r="X16" s="278"/>
      <c r="Y16" s="278"/>
      <c r="Z16" s="269"/>
      <c r="AA16" s="278"/>
      <c r="AB16" s="278"/>
      <c r="AC16" s="282"/>
      <c r="AD16" s="282"/>
      <c r="AE16" s="278"/>
      <c r="AF16" s="278"/>
      <c r="AG16" s="278"/>
      <c r="AH16" s="278"/>
      <c r="AI16" s="278"/>
      <c r="AJ16" s="278"/>
      <c r="AK16" s="282"/>
      <c r="AL16" s="278"/>
      <c r="AM16" s="278"/>
      <c r="AN16" s="285"/>
      <c r="AO16" s="278"/>
      <c r="AP16" s="282"/>
      <c r="AQ16" s="282"/>
      <c r="AR16" s="282"/>
      <c r="AS16" s="278"/>
      <c r="AT16" s="285"/>
      <c r="AU16" s="193"/>
      <c r="AV16" s="193"/>
      <c r="AW16" s="193"/>
      <c r="AX16" s="193"/>
      <c r="AY16" s="193"/>
      <c r="AZ16" s="193"/>
      <c r="BA16" s="193"/>
      <c r="BB16" s="193"/>
      <c r="BC16" s="193"/>
      <c r="BD16" s="193"/>
      <c r="BE16" s="193"/>
      <c r="BF16" s="193"/>
      <c r="BG16" s="193"/>
      <c r="BH16" s="193"/>
      <c r="BI16" s="193"/>
      <c r="BJ16" s="193"/>
    </row>
    <row r="17" spans="1:80" s="29" customFormat="1" ht="21.75" customHeight="1">
      <c r="A17" s="194"/>
      <c r="B17" s="463"/>
      <c r="C17" s="298"/>
      <c r="D17" s="455"/>
      <c r="E17" s="455"/>
      <c r="F17" s="389"/>
      <c r="G17" s="464"/>
      <c r="H17" s="389"/>
      <c r="I17" s="464"/>
      <c r="J17" s="465"/>
      <c r="K17" s="92">
        <f>IF(I17&gt;0,I17,G17)</f>
        <v>0</v>
      </c>
      <c r="L17" s="70"/>
      <c r="M17" s="194"/>
      <c r="N17" s="277"/>
      <c r="O17" s="215"/>
      <c r="P17" s="286"/>
      <c r="Q17" s="445" t="s">
        <v>202</v>
      </c>
      <c r="R17" s="443"/>
      <c r="S17" s="270"/>
      <c r="T17" s="57" t="e">
        <f>S53</f>
        <v>#N/A</v>
      </c>
      <c r="U17" s="284" t="e">
        <f>BX7</f>
        <v>#N/A</v>
      </c>
      <c r="V17" s="278"/>
      <c r="W17" s="58" t="e">
        <f>V53</f>
        <v>#N/A</v>
      </c>
      <c r="X17" s="278"/>
      <c r="Y17" s="278"/>
      <c r="Z17" s="289" t="e">
        <f>Z53</f>
        <v>#N/A</v>
      </c>
      <c r="AA17" s="278"/>
      <c r="AB17" s="278"/>
      <c r="AC17" s="61" t="e">
        <f>AC53</f>
        <v>#N/A</v>
      </c>
      <c r="AD17" s="272"/>
      <c r="AE17" s="278"/>
      <c r="AF17" s="290" t="e">
        <f>AF53</f>
        <v>#N/A</v>
      </c>
      <c r="AG17" s="272"/>
      <c r="AH17" s="278"/>
      <c r="AI17" s="290" t="e">
        <f>AI53</f>
        <v>#N/A</v>
      </c>
      <c r="AJ17" s="272"/>
      <c r="AK17" s="282"/>
      <c r="AL17" s="62" t="e">
        <f>AL53</f>
        <v>#N/A</v>
      </c>
      <c r="AM17" s="278"/>
      <c r="AN17" s="285"/>
      <c r="AO17" s="278"/>
      <c r="AP17" s="63" t="e">
        <f>AT53</f>
        <v>#N/A</v>
      </c>
      <c r="AQ17" s="282"/>
      <c r="AR17" s="64" t="e">
        <f>AQ53</f>
        <v>#N/A</v>
      </c>
      <c r="AS17" s="278"/>
      <c r="AT17" s="294"/>
      <c r="AU17" s="193"/>
      <c r="AV17" s="327"/>
      <c r="AW17" s="327"/>
      <c r="AX17" s="327"/>
      <c r="AY17" s="327"/>
      <c r="AZ17" s="327"/>
      <c r="BA17" s="327"/>
      <c r="BB17" s="327"/>
      <c r="BC17" s="327"/>
      <c r="BD17" s="327"/>
      <c r="BE17" s="327"/>
      <c r="BF17" s="327"/>
      <c r="BG17" s="327"/>
      <c r="BH17" s="327"/>
      <c r="BI17" s="327"/>
      <c r="BJ17" s="327"/>
      <c r="BT17" s="28"/>
      <c r="BU17" s="28"/>
    </row>
    <row r="18" spans="1:80" s="4" customFormat="1" ht="18.75" customHeight="1">
      <c r="A18" s="194"/>
      <c r="B18" s="213"/>
      <c r="C18" s="213"/>
      <c r="D18" s="213"/>
      <c r="E18" s="213"/>
      <c r="F18" s="194"/>
      <c r="G18" s="213"/>
      <c r="H18" s="194"/>
      <c r="I18" s="213"/>
      <c r="J18" s="213"/>
      <c r="K18" s="32"/>
      <c r="L18" s="32"/>
      <c r="M18" s="194"/>
      <c r="N18" s="277"/>
      <c r="O18" s="215"/>
      <c r="P18" s="286"/>
      <c r="Q18" s="282"/>
      <c r="R18" s="278"/>
      <c r="S18" s="291" t="s">
        <v>216</v>
      </c>
      <c r="T18" s="295" t="e">
        <f>T17-T13</f>
        <v>#N/A</v>
      </c>
      <c r="U18" s="288"/>
      <c r="V18" s="278"/>
      <c r="W18" s="296" t="e">
        <f>W17-W13</f>
        <v>#N/A</v>
      </c>
      <c r="X18" s="278"/>
      <c r="Y18" s="278"/>
      <c r="Z18" s="269"/>
      <c r="AA18" s="278"/>
      <c r="AB18" s="278"/>
      <c r="AC18" s="282"/>
      <c r="AD18" s="282"/>
      <c r="AE18" s="278"/>
      <c r="AF18" s="278"/>
      <c r="AG18" s="278"/>
      <c r="AH18" s="278"/>
      <c r="AI18" s="278"/>
      <c r="AJ18" s="278"/>
      <c r="AK18" s="282"/>
      <c r="AL18" s="278"/>
      <c r="AM18" s="278"/>
      <c r="AN18" s="285"/>
      <c r="AO18" s="278"/>
      <c r="AP18" s="282"/>
      <c r="AQ18" s="282"/>
      <c r="AR18" s="278"/>
      <c r="AS18" s="278"/>
      <c r="AT18" s="285"/>
      <c r="AU18" s="193"/>
      <c r="AV18" s="317"/>
      <c r="AW18" s="317"/>
      <c r="AX18" s="317"/>
      <c r="AY18" s="317"/>
      <c r="AZ18" s="317"/>
      <c r="BA18" s="317"/>
      <c r="BB18" s="317"/>
      <c r="BC18" s="317"/>
      <c r="BD18" s="317"/>
      <c r="BE18" s="317"/>
      <c r="BF18" s="317"/>
      <c r="BG18" s="317"/>
      <c r="BH18" s="317"/>
      <c r="BI18" s="317"/>
      <c r="BJ18" s="317"/>
      <c r="BT18" s="17"/>
      <c r="BU18" s="17"/>
    </row>
    <row r="19" spans="1:80" s="4" customFormat="1" ht="18.75" customHeight="1">
      <c r="A19" s="194"/>
      <c r="B19" s="213"/>
      <c r="C19" s="213"/>
      <c r="D19" s="213"/>
      <c r="E19" s="213"/>
      <c r="F19" s="194"/>
      <c r="G19" s="213"/>
      <c r="H19" s="194"/>
      <c r="I19" s="213"/>
      <c r="J19" s="213"/>
      <c r="K19" s="32"/>
      <c r="L19" s="32"/>
      <c r="M19" s="194"/>
      <c r="N19" s="277"/>
      <c r="O19" s="215"/>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193"/>
      <c r="AO19" s="213"/>
      <c r="AP19" s="213"/>
      <c r="AQ19" s="213"/>
      <c r="AR19" s="213"/>
      <c r="AS19" s="213"/>
      <c r="AT19" s="213"/>
      <c r="AU19" s="193"/>
      <c r="AV19" s="213"/>
      <c r="AW19" s="213"/>
      <c r="AX19" s="213"/>
      <c r="AY19" s="213"/>
      <c r="AZ19" s="213"/>
      <c r="BA19" s="213"/>
      <c r="BB19" s="213"/>
      <c r="BC19" s="213"/>
      <c r="BD19" s="213"/>
      <c r="BE19" s="213"/>
      <c r="BF19" s="213"/>
      <c r="BG19" s="213"/>
      <c r="BH19" s="213"/>
      <c r="BI19" s="213"/>
      <c r="BJ19" s="213"/>
      <c r="BK19" s="32"/>
      <c r="BT19" s="17"/>
      <c r="BU19" s="17"/>
    </row>
    <row r="20" spans="1:80" ht="21" customHeight="1">
      <c r="A20" s="194"/>
      <c r="B20" s="193"/>
      <c r="C20" s="193"/>
      <c r="D20" s="215"/>
      <c r="E20" s="215"/>
      <c r="F20" s="194"/>
      <c r="G20" s="215"/>
      <c r="H20" s="194"/>
      <c r="I20" s="194"/>
      <c r="J20" s="194"/>
      <c r="M20" s="194"/>
      <c r="N20" s="277"/>
      <c r="O20" s="194"/>
      <c r="P20" s="194"/>
      <c r="Q20" s="194"/>
      <c r="R20" s="193"/>
      <c r="S20" s="193"/>
      <c r="T20" s="193"/>
      <c r="U20" s="351"/>
      <c r="V20" s="193"/>
      <c r="W20" s="193"/>
      <c r="X20" s="193"/>
      <c r="Y20" s="193"/>
      <c r="Z20" s="368"/>
      <c r="AA20" s="193"/>
      <c r="AB20" s="193"/>
      <c r="AC20" s="194"/>
      <c r="AD20" s="194"/>
      <c r="AE20" s="193"/>
      <c r="AF20" s="193"/>
      <c r="AG20" s="193"/>
      <c r="AH20" s="193"/>
      <c r="AI20" s="193"/>
      <c r="AJ20" s="193"/>
      <c r="AK20" s="194"/>
      <c r="AL20" s="193"/>
      <c r="AM20" s="213"/>
      <c r="AN20" s="193"/>
      <c r="AO20" s="213"/>
      <c r="AP20" s="194"/>
      <c r="AQ20" s="194"/>
      <c r="AR20" s="193"/>
      <c r="AS20" s="193"/>
      <c r="AT20" s="193"/>
      <c r="AU20" s="193"/>
      <c r="AV20" s="193"/>
      <c r="AW20" s="193"/>
      <c r="AX20" s="193"/>
      <c r="AY20" s="193"/>
      <c r="AZ20" s="193"/>
      <c r="BA20" s="193"/>
      <c r="BB20" s="193"/>
      <c r="BC20" s="193"/>
      <c r="BD20" s="193"/>
      <c r="BE20" s="193"/>
      <c r="BF20" s="193"/>
      <c r="BG20" s="193"/>
      <c r="BH20" s="193"/>
      <c r="BI20" s="193"/>
      <c r="BJ20" s="193"/>
    </row>
    <row r="21" spans="1:80" s="53" customFormat="1" ht="21.75" customHeight="1">
      <c r="A21" s="194"/>
      <c r="B21" s="396" t="s">
        <v>149</v>
      </c>
      <c r="C21" s="457"/>
      <c r="D21" s="466"/>
      <c r="E21" s="467"/>
      <c r="F21" s="557"/>
      <c r="G21" s="242"/>
      <c r="H21" s="557"/>
      <c r="I21" s="242"/>
      <c r="J21" s="436"/>
      <c r="K21" s="82"/>
      <c r="L21" s="32"/>
      <c r="M21" s="194"/>
      <c r="N21" s="277"/>
      <c r="O21" s="213"/>
      <c r="P21" s="506"/>
      <c r="Q21" s="373"/>
      <c r="R21" s="398"/>
      <c r="S21" s="399"/>
      <c r="T21" s="397" t="s">
        <v>196</v>
      </c>
      <c r="U21" s="527"/>
      <c r="V21" s="399"/>
      <c r="W21" s="502"/>
      <c r="X21" s="502"/>
      <c r="Y21" s="399"/>
      <c r="Z21" s="399"/>
      <c r="AA21" s="399"/>
      <c r="AB21" s="399"/>
      <c r="AC21" s="400"/>
      <c r="AD21" s="400"/>
      <c r="AE21" s="397" t="s">
        <v>197</v>
      </c>
      <c r="AF21" s="399"/>
      <c r="AG21" s="399"/>
      <c r="AH21" s="399"/>
      <c r="AI21" s="399"/>
      <c r="AJ21" s="399"/>
      <c r="AK21" s="400"/>
      <c r="AL21" s="399"/>
      <c r="AM21" s="373"/>
      <c r="AN21" s="374"/>
      <c r="AO21" s="373"/>
      <c r="AP21" s="397"/>
      <c r="AQ21" s="397"/>
      <c r="AR21" s="397" t="s">
        <v>117</v>
      </c>
      <c r="AS21" s="397"/>
      <c r="AT21" s="401"/>
      <c r="AU21" s="193"/>
      <c r="AV21" s="328"/>
      <c r="AW21" s="1925" t="s">
        <v>211</v>
      </c>
      <c r="AX21" s="1925"/>
      <c r="AY21" s="1925"/>
      <c r="AZ21" s="1925"/>
      <c r="BA21" s="1925"/>
      <c r="BB21" s="1925"/>
      <c r="BC21" s="1925"/>
      <c r="BD21" s="1925"/>
      <c r="BE21" s="1925"/>
      <c r="BF21" s="1925"/>
      <c r="BG21" s="1925"/>
      <c r="BH21" s="1925"/>
      <c r="BI21" s="317"/>
      <c r="BJ21" s="317"/>
      <c r="BT21" s="32"/>
      <c r="BU21" s="32"/>
    </row>
    <row r="22" spans="1:80" s="7" customFormat="1" ht="22.5" customHeight="1" thickBot="1">
      <c r="A22" s="194"/>
      <c r="B22" s="244"/>
      <c r="C22" s="44"/>
      <c r="D22" s="112"/>
      <c r="E22" s="68"/>
      <c r="F22" s="75"/>
      <c r="G22" s="454" t="s">
        <v>201</v>
      </c>
      <c r="H22" s="75"/>
      <c r="I22" s="569" t="s">
        <v>202</v>
      </c>
      <c r="J22" s="468"/>
      <c r="K22" s="83"/>
      <c r="L22" s="8"/>
      <c r="M22" s="194"/>
      <c r="N22" s="277"/>
      <c r="O22" s="194"/>
      <c r="P22" s="390"/>
      <c r="Q22" s="317"/>
      <c r="R22" s="317"/>
      <c r="S22" s="317"/>
      <c r="T22" s="317"/>
      <c r="U22" s="317"/>
      <c r="V22" s="333" t="s">
        <v>1</v>
      </c>
      <c r="W22" s="317"/>
      <c r="X22" s="317"/>
      <c r="Y22" s="1887" t="s">
        <v>116</v>
      </c>
      <c r="Z22" s="1887"/>
      <c r="AA22" s="317"/>
      <c r="AB22" s="1887" t="s">
        <v>12</v>
      </c>
      <c r="AC22" s="1887"/>
      <c r="AD22" s="213"/>
      <c r="AE22" s="1887" t="s">
        <v>13</v>
      </c>
      <c r="AF22" s="1887"/>
      <c r="AG22" s="317"/>
      <c r="AH22" s="1887" t="s">
        <v>118</v>
      </c>
      <c r="AI22" s="1887"/>
      <c r="AJ22" s="317"/>
      <c r="AK22" s="1887" t="s">
        <v>119</v>
      </c>
      <c r="AL22" s="1887"/>
      <c r="AM22" s="213"/>
      <c r="AN22" s="193"/>
      <c r="AO22" s="213"/>
      <c r="AP22" s="331" t="s">
        <v>100</v>
      </c>
      <c r="AQ22" s="331" t="s">
        <v>170</v>
      </c>
      <c r="AR22" s="333" t="s">
        <v>2</v>
      </c>
      <c r="AS22" s="333" t="s">
        <v>2</v>
      </c>
      <c r="AT22" s="329" t="s">
        <v>167</v>
      </c>
      <c r="AU22" s="193"/>
      <c r="AV22" s="330"/>
      <c r="AW22" s="330"/>
      <c r="AX22" s="331" t="s">
        <v>206</v>
      </c>
      <c r="AY22" s="331"/>
      <c r="AZ22" s="1924" t="s">
        <v>204</v>
      </c>
      <c r="BA22" s="1924"/>
      <c r="BB22" s="332"/>
      <c r="BC22" s="1924" t="s">
        <v>205</v>
      </c>
      <c r="BD22" s="1924"/>
      <c r="BE22" s="332"/>
      <c r="BF22" s="1923" t="s">
        <v>209</v>
      </c>
      <c r="BG22" s="1923"/>
      <c r="BH22" s="317"/>
      <c r="BI22" s="193"/>
      <c r="BJ22" s="193"/>
      <c r="BT22" s="8"/>
      <c r="BU22" s="8"/>
    </row>
    <row r="23" spans="1:80" s="7" customFormat="1" ht="20.100000000000001" customHeight="1" thickBot="1">
      <c r="A23" s="194"/>
      <c r="B23" s="411" t="s">
        <v>182</v>
      </c>
      <c r="C23" s="433"/>
      <c r="D23" s="433" t="s">
        <v>146</v>
      </c>
      <c r="E23" s="433"/>
      <c r="F23" s="433"/>
      <c r="G23" s="433" t="s">
        <v>139</v>
      </c>
      <c r="H23" s="433"/>
      <c r="I23" s="433" t="s">
        <v>139</v>
      </c>
      <c r="J23" s="469"/>
      <c r="K23" s="83"/>
      <c r="L23" s="8"/>
      <c r="M23" s="194"/>
      <c r="N23" s="277"/>
      <c r="O23" s="194"/>
      <c r="P23" s="390"/>
      <c r="Q23" s="317"/>
      <c r="R23" s="333" t="s">
        <v>140</v>
      </c>
      <c r="S23" s="333" t="s">
        <v>2</v>
      </c>
      <c r="T23" s="331" t="s">
        <v>1</v>
      </c>
      <c r="U23" s="331" t="s">
        <v>58</v>
      </c>
      <c r="V23" s="331" t="s">
        <v>141</v>
      </c>
      <c r="W23" s="317"/>
      <c r="X23" s="317"/>
      <c r="Y23" s="331" t="s">
        <v>11</v>
      </c>
      <c r="Z23" s="274" t="s">
        <v>90</v>
      </c>
      <c r="AA23" s="317"/>
      <c r="AB23" s="331" t="s">
        <v>11</v>
      </c>
      <c r="AC23" s="274" t="s">
        <v>90</v>
      </c>
      <c r="AD23" s="213"/>
      <c r="AE23" s="331" t="s">
        <v>11</v>
      </c>
      <c r="AF23" s="274" t="s">
        <v>90</v>
      </c>
      <c r="AG23" s="317"/>
      <c r="AH23" s="331" t="s">
        <v>145</v>
      </c>
      <c r="AI23" s="274" t="s">
        <v>90</v>
      </c>
      <c r="AJ23" s="317"/>
      <c r="AK23" s="331" t="s">
        <v>11</v>
      </c>
      <c r="AL23" s="274" t="s">
        <v>90</v>
      </c>
      <c r="AM23" s="213"/>
      <c r="AN23" s="193"/>
      <c r="AO23" s="213"/>
      <c r="AP23" s="375" t="s">
        <v>168</v>
      </c>
      <c r="AQ23" s="376" t="s">
        <v>169</v>
      </c>
      <c r="AR23" s="377" t="s">
        <v>59</v>
      </c>
      <c r="AS23" s="333" t="s">
        <v>57</v>
      </c>
      <c r="AT23" s="329" t="s">
        <v>112</v>
      </c>
      <c r="AU23" s="193"/>
      <c r="AV23" s="333"/>
      <c r="AW23" s="333"/>
      <c r="AX23" s="332" t="s">
        <v>207</v>
      </c>
      <c r="AY23" s="332"/>
      <c r="AZ23" s="334" t="s">
        <v>8</v>
      </c>
      <c r="BA23" s="332" t="s">
        <v>208</v>
      </c>
      <c r="BB23" s="332"/>
      <c r="BC23" s="334" t="s">
        <v>8</v>
      </c>
      <c r="BD23" s="332" t="s">
        <v>208</v>
      </c>
      <c r="BE23" s="332"/>
      <c r="BF23" s="332" t="s">
        <v>8</v>
      </c>
      <c r="BG23" s="332" t="s">
        <v>208</v>
      </c>
      <c r="BH23" s="317"/>
      <c r="BI23" s="193"/>
      <c r="BJ23" s="193"/>
      <c r="BT23" s="8"/>
      <c r="BU23" s="8"/>
    </row>
    <row r="24" spans="1:80" s="7" customFormat="1" ht="19.5" customHeight="1" thickBot="1">
      <c r="A24" s="194"/>
      <c r="B24" s="442" t="str">
        <f>D16</f>
        <v>Pasture summer stalky</v>
      </c>
      <c r="C24" s="434"/>
      <c r="D24" s="1919" t="s">
        <v>89</v>
      </c>
      <c r="E24" s="1920"/>
      <c r="F24" s="557"/>
      <c r="G24" s="229">
        <v>8</v>
      </c>
      <c r="H24" s="557"/>
      <c r="I24" s="243"/>
      <c r="J24" s="436"/>
      <c r="K24" s="127"/>
      <c r="L24" s="128">
        <f>IF(OR($D$16="-",$D24="-",$G24=0),0,G24)</f>
        <v>8</v>
      </c>
      <c r="M24" s="194"/>
      <c r="N24" s="277"/>
      <c r="O24" s="194"/>
      <c r="P24" s="390"/>
      <c r="Q24" s="425"/>
      <c r="R24" s="232">
        <f>IF(OR($D16="-",$D24="-",$G24=0),"",VLOOKUP($D24,'Data source'!$B$122:$C$125,2,FALSE))</f>
        <v>0.9</v>
      </c>
      <c r="S24" s="211">
        <f>IF(OR(D16="-",$D24="-",$G24=0),"",G24*R24)</f>
        <v>7.2</v>
      </c>
      <c r="T24" s="224">
        <f>K16</f>
        <v>9.5</v>
      </c>
      <c r="U24" s="224" t="e">
        <f>IF(OR($D16="-",$D24="-",$G24=0),"",VLOOKUP($D16,'Data source'!$B$15:$I$99,2,FALSE))</f>
        <v>#N/A</v>
      </c>
      <c r="V24" s="233">
        <f>IF(OR($D16="-",$D24="-",$G24=0),"",S24*T24)</f>
        <v>68.400000000000006</v>
      </c>
      <c r="W24" s="317"/>
      <c r="X24" s="317"/>
      <c r="Y24" s="234" t="e">
        <f>IF(OR($D16="-",$D24="-",$G24=0),"",VLOOKUP($D16,'Data source'!$B$15:$I$99,4,FALSE))</f>
        <v>#N/A</v>
      </c>
      <c r="Z24" s="235" t="e">
        <f>IF(OR($D16="-",$D24="-",$G24=0),"",(($S24/$S$52)*Y24))</f>
        <v>#N/A</v>
      </c>
      <c r="AA24" s="94"/>
      <c r="AB24" s="234" t="e">
        <f>IF(OR($D16="-",$D24="-",$G24=0),"",VLOOKUP($D16,'Data source'!$B$15:$I$99,5,FALSE))</f>
        <v>#N/A</v>
      </c>
      <c r="AC24" s="235" t="e">
        <f>IF(OR($D16="-",$D24="-",$G24=0),"",(($S24/$S$52)*AB24))</f>
        <v>#N/A</v>
      </c>
      <c r="AD24" s="105"/>
      <c r="AE24" s="234" t="e">
        <f>IF(OR($D16="-",$D24="-",$G24=0),"",VLOOKUP($D16,'Data source'!$B$15:$I$99,6,FALSE))</f>
        <v>#N/A</v>
      </c>
      <c r="AF24" s="235" t="e">
        <f>IF(OR($D16="-",$D24="-",$G24=0),"",(($S24/$S$52)*AE24))</f>
        <v>#N/A</v>
      </c>
      <c r="AG24" s="317"/>
      <c r="AH24" s="234" t="e">
        <f>IF(OR($D16="-",$D24="-",$G24=0),"",VLOOKUP($D16,'Data source'!$B$15:$I$99,7,FALSE))</f>
        <v>#N/A</v>
      </c>
      <c r="AI24" s="235" t="e">
        <f>IF(OR($D16="-",$D24="-",$G24=0),"",(($S24/$S$52)*AH24))</f>
        <v>#N/A</v>
      </c>
      <c r="AJ24" s="317"/>
      <c r="AK24" s="234" t="e">
        <f>IF(OR($D16="-",$D24="-",$G24=0),"",VLOOKUP($D16,'Data source'!$B$15:$I$99,8,FALSE))</f>
        <v>#N/A</v>
      </c>
      <c r="AL24" s="235" t="e">
        <f>IF(OR($D16="-",$D24="-",$G24=0),"",(($S24/$S$52)*AK24))</f>
        <v>#N/A</v>
      </c>
      <c r="AM24" s="213"/>
      <c r="AN24" s="193"/>
      <c r="AO24" s="213"/>
      <c r="AP24" s="226">
        <v>70</v>
      </c>
      <c r="AQ24" s="223" t="e">
        <f>IF(OR($D16="-",$D24="-",$G24=0),"",VLOOKUP($D16,'Data source'!$B$15:$M$99,12,FALSE))</f>
        <v>#N/A</v>
      </c>
      <c r="AR24" s="224" t="e">
        <f>IF(OR($D16="-",$D24="-",$G24=0),"",IF($AQ24="Dry",$AP24/$R24/10,IF($AQ24="Wet",$AP24/($U24/100)*$R24/10,0)))</f>
        <v>#N/A</v>
      </c>
      <c r="AS24" s="211" t="e">
        <f>IF(OR($D16="-",$D24="-",$G24=0),"",AR24/T24)</f>
        <v>#N/A</v>
      </c>
      <c r="AT24" s="225" t="e">
        <f>IF(OR($D16="-",$D24="-",$G24=0),"",($AR24*$G24)/100)</f>
        <v>#N/A</v>
      </c>
      <c r="AU24" s="193"/>
      <c r="AV24" s="335"/>
      <c r="AW24" s="335"/>
      <c r="AX24" s="336" t="e">
        <f>Z24</f>
        <v>#N/A</v>
      </c>
      <c r="AY24" s="337"/>
      <c r="AZ24" s="338" t="e">
        <f>IF(OR($D$16="-",$D24="-",$G24=0),"",VLOOKUP($D$16,'Data source'!$B$15:$M99,9,FALSE))</f>
        <v>#N/A</v>
      </c>
      <c r="BA24" s="339" t="e">
        <f>IF(OR($AX24="",$AZ24=""),"",$AX24*$AZ24)</f>
        <v>#N/A</v>
      </c>
      <c r="BB24" s="337"/>
      <c r="BC24" s="338" t="e">
        <f>IF(OR($D16="-",$D24="-",$G24=0),"",VLOOKUP($D16,'Data source'!$B$15:$M$99,10,FALSE))</f>
        <v>#N/A</v>
      </c>
      <c r="BD24" s="339" t="e">
        <f>IF(OR($AX24="",$BC24=""),"",$AX24*$BC24)</f>
        <v>#N/A</v>
      </c>
      <c r="BE24" s="337"/>
      <c r="BF24" s="338" t="e">
        <f>IF(OR($D16="-",$D24="-",$G24=0),"",VLOOKUP($D16,'Data source'!$B$15:$M$99,11,FALSE))</f>
        <v>#N/A</v>
      </c>
      <c r="BG24" s="340" t="e">
        <f>IF(OR($AX24="",$BF24=""),"",$AX24*$BF24)</f>
        <v>#N/A</v>
      </c>
      <c r="BH24" s="317"/>
      <c r="BI24" s="193"/>
      <c r="BJ24" s="193"/>
      <c r="BT24" s="8"/>
      <c r="BU24" s="8"/>
    </row>
    <row r="25" spans="1:80" s="7" customFormat="1" ht="3" customHeight="1" thickBot="1">
      <c r="A25" s="194"/>
      <c r="B25" s="501"/>
      <c r="C25" s="67"/>
      <c r="D25" s="422"/>
      <c r="E25" s="422"/>
      <c r="F25" s="75"/>
      <c r="G25" s="422"/>
      <c r="H25" s="75"/>
      <c r="I25" s="317"/>
      <c r="J25" s="468"/>
      <c r="K25" s="127"/>
      <c r="L25" s="128"/>
      <c r="M25" s="194"/>
      <c r="N25" s="277"/>
      <c r="O25" s="194"/>
      <c r="P25" s="390"/>
      <c r="Q25" s="425"/>
      <c r="R25" s="426"/>
      <c r="S25" s="392"/>
      <c r="T25" s="324"/>
      <c r="U25" s="324"/>
      <c r="V25" s="311"/>
      <c r="W25" s="317"/>
      <c r="X25" s="317"/>
      <c r="Y25" s="427"/>
      <c r="Z25" s="428"/>
      <c r="AA25" s="94"/>
      <c r="AB25" s="418"/>
      <c r="AC25" s="419"/>
      <c r="AD25" s="105"/>
      <c r="AE25" s="418"/>
      <c r="AF25" s="419"/>
      <c r="AG25" s="317"/>
      <c r="AH25" s="418"/>
      <c r="AI25" s="419"/>
      <c r="AJ25" s="317"/>
      <c r="AK25" s="418"/>
      <c r="AL25" s="419"/>
      <c r="AM25" s="213"/>
      <c r="AN25" s="193"/>
      <c r="AO25" s="213"/>
      <c r="AP25" s="524"/>
      <c r="AQ25" s="429"/>
      <c r="AR25" s="324"/>
      <c r="AS25" s="392"/>
      <c r="AT25" s="358"/>
      <c r="AU25" s="193"/>
      <c r="AV25" s="335"/>
      <c r="AW25" s="335"/>
      <c r="AX25" s="420"/>
      <c r="AY25" s="332"/>
      <c r="AZ25" s="324"/>
      <c r="BA25" s="307"/>
      <c r="BB25" s="332"/>
      <c r="BC25" s="324"/>
      <c r="BD25" s="307"/>
      <c r="BE25" s="332"/>
      <c r="BF25" s="324"/>
      <c r="BG25" s="421"/>
      <c r="BH25" s="317"/>
      <c r="BI25" s="193"/>
      <c r="BJ25" s="193"/>
      <c r="BT25" s="8"/>
      <c r="BU25" s="8"/>
    </row>
    <row r="26" spans="1:80" s="7" customFormat="1" ht="20.100000000000001" customHeight="1" thickBot="1">
      <c r="A26" s="194"/>
      <c r="B26" s="437"/>
      <c r="C26" s="438"/>
      <c r="D26" s="1927" t="s">
        <v>156</v>
      </c>
      <c r="E26" s="1928"/>
      <c r="F26" s="554"/>
      <c r="G26" s="439"/>
      <c r="H26" s="554"/>
      <c r="I26" s="410">
        <v>13</v>
      </c>
      <c r="J26" s="440"/>
      <c r="K26" s="84" t="str">
        <f>IF(D26="-",D24,D26)</f>
        <v>grazing - good conditions</v>
      </c>
      <c r="L26" s="128">
        <f>IF(OR($D$16="-",D24="-",$I26=0),0,I26)</f>
        <v>13</v>
      </c>
      <c r="M26" s="194"/>
      <c r="N26" s="277"/>
      <c r="O26" s="194"/>
      <c r="P26" s="390"/>
      <c r="Q26" s="425"/>
      <c r="R26" s="236">
        <f>IF(OR(D16="-",$K26="-",$I26=0),"",VLOOKUP($K26,'Data source'!$B$122:$C$125,2,FALSE))</f>
        <v>0.9</v>
      </c>
      <c r="S26" s="237">
        <f>IF(OR($D16="-",K26="-",$I26=0),"",$I26*$R26)</f>
        <v>11.700000000000001</v>
      </c>
      <c r="T26" s="237">
        <f>K16</f>
        <v>9.5</v>
      </c>
      <c r="U26" s="237" t="e">
        <f>IF(OR(D16="-",$K26="-",$I26=""),"",VLOOKUP(D16,'Data source'!$B$15:$I$99,2,FALSE))</f>
        <v>#N/A</v>
      </c>
      <c r="V26" s="238">
        <f>IF(OR(D16="-",$K26="-",$I26=""),"",$S26*$T26)</f>
        <v>111.15</v>
      </c>
      <c r="W26" s="317"/>
      <c r="X26" s="317"/>
      <c r="Y26" s="240" t="e">
        <f>IF(OR($D16="-",$K26="-",$I26=""),"",VLOOKUP($D16,'Data source'!$B$15:$I$99,4,FALSE))</f>
        <v>#N/A</v>
      </c>
      <c r="Z26" s="241" t="e">
        <f>IF(OR($D16="-",$K26="-",$I26=""),"",(($S26/$S$53)*$Y26))</f>
        <v>#N/A</v>
      </c>
      <c r="AA26" s="94"/>
      <c r="AB26" s="240" t="e">
        <f>IF(OR($D16="-",$K26="-",$I26=0),"",VLOOKUP($D16,'Data source'!$B$15:$I$99,5,FALSE))</f>
        <v>#N/A</v>
      </c>
      <c r="AC26" s="241" t="e">
        <f>IF(OR($D16="-",$K26="-",$I26=0),"",(($S26/$S$53)*AB26))</f>
        <v>#N/A</v>
      </c>
      <c r="AD26" s="105"/>
      <c r="AE26" s="240" t="e">
        <f>IF(OR($D16="-",$K26="-",$I26=0),"",VLOOKUP($D16,'Data source'!$B$15:$I$99,6,FALSE))</f>
        <v>#N/A</v>
      </c>
      <c r="AF26" s="241" t="e">
        <f>IF(OR($D16="-",$K26="-",$I26=0),"",(($S26/$S$53)*AE26))</f>
        <v>#N/A</v>
      </c>
      <c r="AG26" s="317"/>
      <c r="AH26" s="240" t="e">
        <f>IF(OR($D16="-",$K26="-",$I26=0),"",VLOOKUP($D16,'Data source'!$B$15:$I$99,7,FALSE))</f>
        <v>#N/A</v>
      </c>
      <c r="AI26" s="241" t="e">
        <f>IF(OR($D16="-",$K26="-",$I26=0),"",(($S26/$S$53)*AH26))</f>
        <v>#N/A</v>
      </c>
      <c r="AJ26" s="317"/>
      <c r="AK26" s="240" t="e">
        <f>IF(OR($D16="-",$K26="-",$I26=0),"",VLOOKUP($D16,'Data source'!$B$15:$I$99,8,FALSE))</f>
        <v>#N/A</v>
      </c>
      <c r="AL26" s="241" t="e">
        <f>IF(OR($D16="-",$K26="-",$I26=0),"",(($S26/$S$53)*AK26))</f>
        <v>#N/A</v>
      </c>
      <c r="AM26" s="213"/>
      <c r="AN26" s="193"/>
      <c r="AO26" s="213"/>
      <c r="AP26" s="372"/>
      <c r="AQ26" s="370" t="e">
        <f>IF(OR($D16="-",$K26="-",$I26=0),"",VLOOKUP($D16,'Data source'!$B$15:$M$99,12,FALSE))</f>
        <v>#N/A</v>
      </c>
      <c r="AR26" s="237" t="e">
        <f>IF(OR($D16="-",$K26="-",$I26=0),"",IF($AQ26="Dry",$AP24/$R26/10,IF($AQ26="Wet",$AP24/($U26/100)*$R26/10,0)))</f>
        <v>#N/A</v>
      </c>
      <c r="AS26" s="212" t="e">
        <f>IF(OR($D16="-",$K26="-",$I26=0),"",AR26/T26)</f>
        <v>#N/A</v>
      </c>
      <c r="AT26" s="371" t="e">
        <f>IF(OR($D16="-",$K26="-",$I26=0),"",($AR26*$I26)/100)</f>
        <v>#N/A</v>
      </c>
      <c r="AU26" s="193"/>
      <c r="AV26" s="335"/>
      <c r="AW26" s="335"/>
      <c r="AX26" s="341" t="e">
        <f>Z26</f>
        <v>#N/A</v>
      </c>
      <c r="AY26" s="342"/>
      <c r="AZ26" s="343" t="e">
        <f>IF(OR($D$16="-",$K26="-",$I26=0),"",VLOOKUP($D$16,'Data source'!$B$15:$M188,9,FALSE))</f>
        <v>#N/A</v>
      </c>
      <c r="BA26" s="344" t="e">
        <f t="shared" ref="BA26:BA46" si="0">IF(OR(AX26="",AZ26=""),"",AX26*AZ26)</f>
        <v>#N/A</v>
      </c>
      <c r="BB26" s="342"/>
      <c r="BC26" s="343" t="e">
        <f>IF(OR($D$16="-",$K26="-",$I26=0),"",VLOOKUP($D$16,'Data source'!$B$15:$M188,10,FALSE))</f>
        <v>#N/A</v>
      </c>
      <c r="BD26" s="344" t="e">
        <f>IF(OR($AX26="",$BC26=""),"",$AX26*$BC26)</f>
        <v>#N/A</v>
      </c>
      <c r="BE26" s="342"/>
      <c r="BF26" s="343" t="e">
        <f>IF(OR($D$16="-",$K26="-",$I26=0),"",VLOOKUP($D$16,'Data source'!$B$15:$M188,11,FALSE))</f>
        <v>#N/A</v>
      </c>
      <c r="BG26" s="345" t="e">
        <f>IF(OR($AX26="",$BF26=""),"",$AX26*$BF26)</f>
        <v>#N/A</v>
      </c>
      <c r="BH26" s="317"/>
      <c r="BI26" s="193"/>
      <c r="BJ26" s="193"/>
      <c r="BT26" s="8"/>
      <c r="BU26" s="8"/>
    </row>
    <row r="27" spans="1:80" s="7" customFormat="1" ht="9" customHeight="1" thickBot="1">
      <c r="A27" s="194"/>
      <c r="B27" s="470"/>
      <c r="C27" s="117"/>
      <c r="D27" s="68"/>
      <c r="E27" s="68"/>
      <c r="F27" s="561"/>
      <c r="G27" s="113"/>
      <c r="H27" s="75"/>
      <c r="I27" s="114"/>
      <c r="J27" s="468"/>
      <c r="K27" s="83"/>
      <c r="L27" s="8"/>
      <c r="M27" s="194"/>
      <c r="N27" s="277"/>
      <c r="O27" s="194"/>
      <c r="P27" s="390"/>
      <c r="Q27" s="425"/>
      <c r="R27" s="145"/>
      <c r="S27" s="67"/>
      <c r="T27" s="130"/>
      <c r="U27" s="131"/>
      <c r="V27" s="133"/>
      <c r="W27" s="317"/>
      <c r="X27" s="317"/>
      <c r="Y27" s="146"/>
      <c r="Z27" s="132"/>
      <c r="AA27" s="94"/>
      <c r="AB27" s="146"/>
      <c r="AC27" s="130"/>
      <c r="AD27" s="105"/>
      <c r="AE27" s="146"/>
      <c r="AF27" s="130"/>
      <c r="AG27" s="317"/>
      <c r="AH27" s="146"/>
      <c r="AI27" s="130"/>
      <c r="AJ27" s="317"/>
      <c r="AK27" s="146"/>
      <c r="AL27" s="130"/>
      <c r="AM27" s="213"/>
      <c r="AN27" s="193"/>
      <c r="AO27" s="193"/>
      <c r="AP27" s="193"/>
      <c r="AQ27" s="193"/>
      <c r="AR27" s="193"/>
      <c r="AS27" s="193"/>
      <c r="AT27" s="193"/>
      <c r="AU27" s="193"/>
      <c r="AV27" s="335"/>
      <c r="AW27" s="335"/>
      <c r="AX27" s="346"/>
      <c r="AY27" s="332"/>
      <c r="AZ27" s="347"/>
      <c r="BA27" s="348"/>
      <c r="BB27" s="332"/>
      <c r="BC27" s="347"/>
      <c r="BD27" s="307" t="str">
        <f>IF(OR($AX27="",$BC27=""),"",$AX27*$BC27)</f>
        <v/>
      </c>
      <c r="BE27" s="332"/>
      <c r="BF27" s="349"/>
      <c r="BG27" s="307" t="str">
        <f>IF(OR($AX27="",$BF27=""),"",$AX27*$BF27)</f>
        <v/>
      </c>
      <c r="BH27" s="350"/>
      <c r="BI27" s="351"/>
      <c r="BJ27" s="193"/>
      <c r="BM27" s="25"/>
      <c r="BP27" s="8"/>
      <c r="BQ27" s="8"/>
      <c r="BT27" s="8"/>
      <c r="BU27" s="8"/>
      <c r="BX27" s="8"/>
    </row>
    <row r="28" spans="1:80" s="7" customFormat="1" ht="20.100000000000001" customHeight="1" thickBot="1">
      <c r="A28" s="194" t="s">
        <v>129</v>
      </c>
      <c r="B28" s="441" t="s">
        <v>61</v>
      </c>
      <c r="C28" s="122"/>
      <c r="D28" s="1919" t="s">
        <v>89</v>
      </c>
      <c r="E28" s="1920"/>
      <c r="F28" s="75"/>
      <c r="G28" s="229">
        <v>2</v>
      </c>
      <c r="H28" s="565"/>
      <c r="I28" s="123"/>
      <c r="J28" s="472"/>
      <c r="K28" s="83"/>
      <c r="L28" s="128">
        <f>IF(OR($D$16="-",$D28="-",$G28=0),0,G28)</f>
        <v>2</v>
      </c>
      <c r="M28" s="194"/>
      <c r="N28" s="277"/>
      <c r="O28" s="194"/>
      <c r="P28" s="390"/>
      <c r="Q28" s="425"/>
      <c r="R28" s="232" t="e">
        <f>IF(OR($B28="-",K30="-",$G28="-"),"",VLOOKUP(D28,'Data source'!$B$127:$C$137,2,FALSE))</f>
        <v>#N/A</v>
      </c>
      <c r="S28" s="211" t="e">
        <f>IF(OR($B$28="-",D28="-",$G$28="-"),"",$G$28*$R$28)</f>
        <v>#N/A</v>
      </c>
      <c r="T28" s="224" t="e">
        <f>IF(OR($B$28="-",D28="-",$G$28="-"),"",VLOOKUP($B$28,'Data source'!$B$15:$I$99,3,FALSE))</f>
        <v>#N/A</v>
      </c>
      <c r="U28" s="224" t="e">
        <f>IF(OR($B$28="-",D28="-",$G$28="-"),"",VLOOKUP($B$28,'Data source'!$B$15:$I$99,2,FALSE))</f>
        <v>#N/A</v>
      </c>
      <c r="V28" s="233" t="e">
        <f>IF(OR($B$28="-",D28="-",$G$28="-"),"",$S$28*$T$28)</f>
        <v>#N/A</v>
      </c>
      <c r="W28" s="317"/>
      <c r="X28" s="317"/>
      <c r="Y28" s="234" t="e">
        <f>IF(OR($B$28="-",D28="-",$G$28="-"),"",VLOOKUP($B$28,'Data source'!$B$15:$I$99,4,FALSE))</f>
        <v>#N/A</v>
      </c>
      <c r="Z28" s="235" t="e">
        <f>IF(OR($B$28="-",D28="-",$G$28="-"),"",(($S$28/$S$52)*$Y$28))</f>
        <v>#N/A</v>
      </c>
      <c r="AA28" s="94"/>
      <c r="AB28" s="234" t="e">
        <f>IF(OR($B28="-",D28="-",$G28="-"),"",VLOOKUP($B28,'Data source'!$B$15:$I$99,5,FALSE))</f>
        <v>#N/A</v>
      </c>
      <c r="AC28" s="235" t="e">
        <f>IF(OR($B28="-",D28="-",$G28="-"),"",(($S28/$S$52)*AB28))</f>
        <v>#N/A</v>
      </c>
      <c r="AD28" s="105"/>
      <c r="AE28" s="234" t="e">
        <f>IF(OR($B28="-",D28="-",$G28="-"),"",VLOOKUP($B28,'Data source'!$B$15:$I$99,6,FALSE))</f>
        <v>#N/A</v>
      </c>
      <c r="AF28" s="235" t="e">
        <f>IF(OR($B28="-",D28="-",$G28="-"),"",(($S28/$S$52)*AE28))</f>
        <v>#N/A</v>
      </c>
      <c r="AG28" s="317"/>
      <c r="AH28" s="234" t="e">
        <f>IF(OR($B28="-",D28="-",$G28="-"),"",VLOOKUP($B28,'Data source'!$B$15:$I$99,7,FALSE))</f>
        <v>#N/A</v>
      </c>
      <c r="AI28" s="235" t="e">
        <f>IF(OR($B28="-",D28="-",$G28="-"),"",(($S28/$S$52)*AH28))</f>
        <v>#N/A</v>
      </c>
      <c r="AJ28" s="317"/>
      <c r="AK28" s="234" t="e">
        <f>IF(OR($B28="-",D28="-",$G28="-"),"",VLOOKUP($B28,'Data source'!$B$15:$I$99,8,FALSE))</f>
        <v>#N/A</v>
      </c>
      <c r="AL28" s="235" t="e">
        <f>IF(OR($B28="-",D16="-",$G28="-"),"",(($S28/$S$52)*AK28))</f>
        <v>#N/A</v>
      </c>
      <c r="AM28" s="213"/>
      <c r="AN28" s="193"/>
      <c r="AO28" s="213"/>
      <c r="AP28" s="226">
        <v>150</v>
      </c>
      <c r="AQ28" s="223" t="e">
        <f>IF(OR($B28="-",D28="-",$G28="-"),"",VLOOKUP($B28,'Data source'!$B$15:$M$99,12,FALSE))</f>
        <v>#N/A</v>
      </c>
      <c r="AR28" s="224" t="e">
        <f>IF(OR($B28="-",D28="-",$G28="-"),"",IF($AQ28="Dry",$AP28/$R28/10,IF($AQ28="Wet",$AP28/($U28/100)*$R28/10,0)))</f>
        <v>#N/A</v>
      </c>
      <c r="AS28" s="211" t="e">
        <f>IF(OR($B28="-",D28="-",$G28="-"),"",AR28/T28)</f>
        <v>#N/A</v>
      </c>
      <c r="AT28" s="225" t="e">
        <f>IF(OR($B28="-",D28="-",$G28="-"),"",($AR28*$G28)/100)</f>
        <v>#N/A</v>
      </c>
      <c r="AU28" s="193"/>
      <c r="AV28" s="335"/>
      <c r="AW28" s="335"/>
      <c r="AX28" s="336" t="e">
        <f>Z28</f>
        <v>#N/A</v>
      </c>
      <c r="AY28" s="337"/>
      <c r="AZ28" s="338" t="e">
        <f>IF(OR($B28="-",$D28="-",$G28=0),"",VLOOKUP($B28,'Data source'!$B$15:$M$99,9,FALSE))</f>
        <v>#N/A</v>
      </c>
      <c r="BA28" s="339" t="e">
        <f t="shared" si="0"/>
        <v>#N/A</v>
      </c>
      <c r="BB28" s="337"/>
      <c r="BC28" s="338" t="e">
        <f>IF(OR($B28="-",$D28="-",$G28=0),"",VLOOKUP($B28,'Data source'!$B$15:$M$99,10,FALSE))</f>
        <v>#N/A</v>
      </c>
      <c r="BD28" s="339" t="e">
        <f>IF(OR($AX28="",$BC28=""),"",$AX28*$BC28)</f>
        <v>#N/A</v>
      </c>
      <c r="BE28" s="337"/>
      <c r="BF28" s="338" t="e">
        <f>IF(OR($B28="-",$D28="-",$G28=0),"",VLOOKUP($B28,'Data source'!$B$15:$M$99,11,FALSE))</f>
        <v>#N/A</v>
      </c>
      <c r="BG28" s="340" t="e">
        <f>IF(OR($AX28="",$BF28=""),"",$AX28*$BF28)</f>
        <v>#N/A</v>
      </c>
      <c r="BH28" s="350"/>
      <c r="BI28" s="351"/>
      <c r="BJ28" s="193"/>
      <c r="BM28" s="25"/>
      <c r="BP28" s="8"/>
      <c r="BQ28" s="8"/>
      <c r="BT28" s="8"/>
      <c r="BU28" s="8"/>
      <c r="BX28" s="8"/>
    </row>
    <row r="29" spans="1:80" s="7" customFormat="1" ht="3" customHeight="1" thickBot="1">
      <c r="A29" s="194"/>
      <c r="B29" s="480"/>
      <c r="C29" s="105"/>
      <c r="D29" s="422"/>
      <c r="E29" s="422"/>
      <c r="F29" s="75"/>
      <c r="G29" s="422"/>
      <c r="H29" s="75"/>
      <c r="I29" s="317"/>
      <c r="J29" s="468"/>
      <c r="K29" s="83"/>
      <c r="L29" s="128"/>
      <c r="M29" s="194"/>
      <c r="N29" s="277"/>
      <c r="O29" s="194"/>
      <c r="P29" s="390"/>
      <c r="Q29" s="425"/>
      <c r="R29" s="426"/>
      <c r="S29" s="392"/>
      <c r="T29" s="324"/>
      <c r="U29" s="324"/>
      <c r="V29" s="311"/>
      <c r="W29" s="317"/>
      <c r="X29" s="317"/>
      <c r="Y29" s="427"/>
      <c r="Z29" s="428"/>
      <c r="AA29" s="94"/>
      <c r="AB29" s="418"/>
      <c r="AC29" s="419"/>
      <c r="AD29" s="105"/>
      <c r="AE29" s="418"/>
      <c r="AF29" s="419"/>
      <c r="AG29" s="317"/>
      <c r="AH29" s="418"/>
      <c r="AI29" s="419"/>
      <c r="AJ29" s="317"/>
      <c r="AK29" s="418"/>
      <c r="AL29" s="419"/>
      <c r="AM29" s="213"/>
      <c r="AN29" s="193"/>
      <c r="AO29" s="213"/>
      <c r="AP29" s="524"/>
      <c r="AQ29" s="429"/>
      <c r="AR29" s="324"/>
      <c r="AS29" s="392"/>
      <c r="AT29" s="358"/>
      <c r="AU29" s="193"/>
      <c r="AV29" s="335"/>
      <c r="AW29" s="335"/>
      <c r="AX29" s="420"/>
      <c r="AY29" s="332"/>
      <c r="AZ29" s="324"/>
      <c r="BA29" s="307"/>
      <c r="BB29" s="332"/>
      <c r="BC29" s="324"/>
      <c r="BD29" s="307"/>
      <c r="BE29" s="332"/>
      <c r="BF29" s="324"/>
      <c r="BG29" s="421"/>
      <c r="BH29" s="350"/>
      <c r="BI29" s="351"/>
      <c r="BJ29" s="193"/>
      <c r="BM29" s="25"/>
      <c r="BP29" s="8"/>
      <c r="BQ29" s="8"/>
      <c r="BT29" s="8"/>
      <c r="BU29" s="8"/>
      <c r="BX29" s="8"/>
    </row>
    <row r="30" spans="1:80" s="7" customFormat="1" ht="20.100000000000001" customHeight="1" thickBot="1">
      <c r="A30" s="194"/>
      <c r="B30" s="473"/>
      <c r="C30" s="118"/>
      <c r="D30" s="1917" t="s">
        <v>156</v>
      </c>
      <c r="E30" s="1918"/>
      <c r="F30" s="562"/>
      <c r="G30" s="568"/>
      <c r="H30" s="75"/>
      <c r="I30" s="410">
        <v>5</v>
      </c>
      <c r="J30" s="474"/>
      <c r="K30" s="84" t="str">
        <f>IF(D28="-",#REF!,D28)</f>
        <v>grazing - good conditions</v>
      </c>
      <c r="L30" s="128">
        <f>IF(OR($D$16="-",D28="-",$I30=0),0,I30)</f>
        <v>5</v>
      </c>
      <c r="M30" s="194"/>
      <c r="N30" s="277"/>
      <c r="O30" s="194"/>
      <c r="P30" s="390"/>
      <c r="Q30" s="507"/>
      <c r="R30" s="239" t="e">
        <f>IF(OR($B28="-",$K30="-",$I30&lt;=0),"",VLOOKUP($K30,'Data source'!$B$127:$C$137,2,FALSE))</f>
        <v>#N/A</v>
      </c>
      <c r="S30" s="237" t="e">
        <f>IF(OR($B28="-",$K30="-",$I30&lt;=0),"",$I30*$R30)</f>
        <v>#N/A</v>
      </c>
      <c r="T30" s="237" t="e">
        <f>IF(OR($B28="-",$K30="-",$I30&lt;=0),"",VLOOKUP($B28,'Data source'!$B$15:$I$99,3,FALSE))</f>
        <v>#N/A</v>
      </c>
      <c r="U30" s="237" t="e">
        <f>IF(OR($B28="-",$K30="-",$I30&lt;=0),"",VLOOKUP($B28,'Data source'!$B$15:$I$99,2,FALSE))</f>
        <v>#N/A</v>
      </c>
      <c r="V30" s="238" t="e">
        <f>IF(OR($B28="-",$K30="-",$I30&lt;=0),"",$S30*$T30)</f>
        <v>#N/A</v>
      </c>
      <c r="W30" s="317"/>
      <c r="X30" s="317"/>
      <c r="Y30" s="240" t="e">
        <f>IF(OR($B28="-",$K30="-",$I30&lt;=0),"",VLOOKUP($B28,'Data source'!$B$15:$I$99,4,FALSE))</f>
        <v>#N/A</v>
      </c>
      <c r="Z30" s="241" t="e">
        <f>IF(OR($B28="-",$K30="-",$I30&lt;=0),"",(($S30/$S$53)*$Y30))</f>
        <v>#N/A</v>
      </c>
      <c r="AA30" s="94"/>
      <c r="AB30" s="240" t="e">
        <f>IF(OR($B28="-",$K30="-",$I30&lt;=0),"",VLOOKUP($B28,'Data source'!$B$15:$I$99,5,FALSE))</f>
        <v>#N/A</v>
      </c>
      <c r="AC30" s="241" t="e">
        <f>IF(OR($B28="-",$K30="-",$I30&lt;=0),"",(($S30/$S$53)*AB30))</f>
        <v>#N/A</v>
      </c>
      <c r="AD30" s="105"/>
      <c r="AE30" s="240" t="e">
        <f>IF(OR($B28="-",$K30="-",$I30&lt;=0),"",VLOOKUP($B28,'Data source'!$B$15:$I$99,6,FALSE))</f>
        <v>#N/A</v>
      </c>
      <c r="AF30" s="241" t="e">
        <f>IF(OR($B28="-",$K30="-",$I30&lt;=0),"",(($S30/$S$53)*AE30))</f>
        <v>#N/A</v>
      </c>
      <c r="AG30" s="317"/>
      <c r="AH30" s="240" t="e">
        <f>IF(OR($B28="-",$K30="-",$I30&lt;=0),"",VLOOKUP($B28,'Data source'!$B$15:$I$99,7,FALSE))</f>
        <v>#N/A</v>
      </c>
      <c r="AI30" s="241" t="e">
        <f>IF(OR($B28="-",$K30="-",$I30&lt;=0),"",(($S30/$S$53)*AH30))</f>
        <v>#N/A</v>
      </c>
      <c r="AJ30" s="317"/>
      <c r="AK30" s="240" t="e">
        <f>IF(OR($B28="-",$K30="-",$I30&lt;=0),"",VLOOKUP($B28,'Data source'!$B$15:$I$99,8,FALSE))</f>
        <v>#N/A</v>
      </c>
      <c r="AL30" s="241" t="e">
        <f>IF(OR($B28="-",$K30="-",$I30&lt;=0),"",(($S30/$S$53)*AK30))</f>
        <v>#N/A</v>
      </c>
      <c r="AM30" s="213"/>
      <c r="AN30" s="193"/>
      <c r="AO30" s="213"/>
      <c r="AP30" s="369"/>
      <c r="AQ30" s="370" t="e">
        <f>IF(OR($B28="-",$K30="-",$I30=0),"",VLOOKUP($B28,'Data source'!$B$15:$M$99,12,FALSE))</f>
        <v>#N/A</v>
      </c>
      <c r="AR30" s="237" t="e">
        <f>IF(OR($B28="-",$K30="-",$I30=0),"",IF($AQ30="Dry",$AP28/$R30/10,IF($AQ30="Wet",$AP28/($U30/100)*$R30/10,0)))</f>
        <v>#N/A</v>
      </c>
      <c r="AS30" s="212" t="e">
        <f>IF(OR($B28="-",$K30="-",$I30=0),"",AR30/T30)</f>
        <v>#N/A</v>
      </c>
      <c r="AT30" s="371" t="e">
        <f>IF(OR($B28="-",$K30="-",$I30=0),"",($AR30*$I30)/100)</f>
        <v>#N/A</v>
      </c>
      <c r="AU30" s="193"/>
      <c r="AV30" s="335"/>
      <c r="AW30" s="335"/>
      <c r="AX30" s="341" t="e">
        <f>Z30</f>
        <v>#N/A</v>
      </c>
      <c r="AY30" s="342"/>
      <c r="AZ30" s="343" t="e">
        <f>IF(OR($B28="-",$K30="-",$I30=0),"",VLOOKUP($B28,'Data source'!$B$15:$M$99,9,FALSE))</f>
        <v>#N/A</v>
      </c>
      <c r="BA30" s="344" t="e">
        <f t="shared" si="0"/>
        <v>#N/A</v>
      </c>
      <c r="BB30" s="342"/>
      <c r="BC30" s="343" t="e">
        <f>IF(OR($B28="-",$K30="-",$I30=0),"",VLOOKUP($B28,'Data source'!$B$15:$M$99,10,FALSE))</f>
        <v>#N/A</v>
      </c>
      <c r="BD30" s="344" t="e">
        <f>IF(OR($AX30="",$BC30=""),"",$AX30*$BC30)</f>
        <v>#N/A</v>
      </c>
      <c r="BE30" s="342"/>
      <c r="BF30" s="343" t="e">
        <f>IF(OR($B28="-",$K30="-",$I30=0),"",VLOOKUP($B28,'Data source'!$B$15:$M$99,11,FALSE))</f>
        <v>#N/A</v>
      </c>
      <c r="BG30" s="345" t="e">
        <f>IF(OR($AX30="",$BF30=""),"",$AX30*$BF30)</f>
        <v>#N/A</v>
      </c>
      <c r="BH30" s="350"/>
      <c r="BI30" s="351"/>
      <c r="BJ30" s="193"/>
      <c r="BM30" s="25"/>
      <c r="BP30" s="8"/>
      <c r="BQ30" s="8"/>
      <c r="BT30" s="8"/>
      <c r="BU30" s="8"/>
      <c r="BX30" s="8"/>
    </row>
    <row r="31" spans="1:80" s="7" customFormat="1" ht="9" customHeight="1" thickBot="1">
      <c r="A31" s="194"/>
      <c r="B31" s="475"/>
      <c r="C31" s="105"/>
      <c r="F31" s="75"/>
      <c r="G31" s="112"/>
      <c r="H31" s="561"/>
      <c r="I31" s="120"/>
      <c r="J31" s="468"/>
      <c r="K31" s="84"/>
      <c r="L31" s="8"/>
      <c r="M31" s="194"/>
      <c r="N31" s="277"/>
      <c r="O31" s="194"/>
      <c r="P31" s="390"/>
      <c r="Q31" s="507"/>
      <c r="R31" s="522"/>
      <c r="S31" s="324"/>
      <c r="T31" s="324"/>
      <c r="U31" s="324"/>
      <c r="V31" s="30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193"/>
      <c r="AV31" s="335"/>
      <c r="AW31" s="335"/>
      <c r="AX31" s="346"/>
      <c r="AY31" s="332"/>
      <c r="AZ31" s="346"/>
      <c r="BA31" s="346"/>
      <c r="BB31" s="332"/>
      <c r="BC31" s="346"/>
      <c r="BD31" s="346"/>
      <c r="BE31" s="332"/>
      <c r="BF31" s="346"/>
      <c r="BG31" s="346"/>
      <c r="BH31" s="350"/>
      <c r="BI31" s="351"/>
      <c r="BJ31" s="193"/>
      <c r="BM31" s="25"/>
      <c r="BP31" s="8"/>
      <c r="BQ31" s="8"/>
      <c r="BT31" s="8"/>
      <c r="BU31" s="8"/>
      <c r="BX31" s="8"/>
    </row>
    <row r="32" spans="1:80" ht="20.100000000000001" customHeight="1" thickBot="1">
      <c r="A32" s="194" t="s">
        <v>192</v>
      </c>
      <c r="B32" s="441" t="s">
        <v>33</v>
      </c>
      <c r="C32" s="122"/>
      <c r="D32" s="1919" t="s">
        <v>89</v>
      </c>
      <c r="E32" s="1920"/>
      <c r="F32" s="563"/>
      <c r="G32" s="229">
        <v>2</v>
      </c>
      <c r="H32" s="75"/>
      <c r="I32" s="124"/>
      <c r="J32" s="476"/>
      <c r="K32" s="85"/>
      <c r="L32" s="128">
        <f>IF(OR($D$16="-",$D32="-",$G32=0),0,G32)</f>
        <v>2</v>
      </c>
      <c r="M32" s="194"/>
      <c r="N32" s="277"/>
      <c r="O32" s="207"/>
      <c r="P32" s="390"/>
      <c r="Q32" s="425"/>
      <c r="R32" s="232" t="e">
        <f>IF(OR($B32="-",$D32="-",$G32="-"),"",VLOOKUP($D32,'Data source'!$B$127:$C$137,2,FALSE))</f>
        <v>#N/A</v>
      </c>
      <c r="S32" s="211" t="e">
        <f>IF(OR($B32="-",$D32="-",$G32="-"),"",G32*R32)</f>
        <v>#N/A</v>
      </c>
      <c r="T32" s="224">
        <f>IF(OR($B32="-",$D32="-",$G32="-"),"",VLOOKUP($B32,'Data source'!$B$15:$I$99,3,FALSE))</f>
        <v>10.4</v>
      </c>
      <c r="U32" s="224">
        <f>IF(OR($B32="-",$D32="-",$G32="-"),"",VLOOKUP($B32,'Data source'!$B$15:$I$99,2,FALSE))</f>
        <v>22</v>
      </c>
      <c r="V32" s="233" t="e">
        <f>IF(OR($B32="-",$D32="-",$G32="-"),"",S32*T32)</f>
        <v>#N/A</v>
      </c>
      <c r="W32" s="317"/>
      <c r="X32" s="317"/>
      <c r="Y32" s="234">
        <f>IF(OR($B32="-",$D32="-",$G32="-"),"",VLOOKUP($B32,'Data source'!$B$15:$I$99,4,FALSE))</f>
        <v>5.4</v>
      </c>
      <c r="Z32" s="235" t="e">
        <f>IF(OR($B32="-",$D32="-",$G32="-"),"",(($S32/$S$52)*Y32))</f>
        <v>#N/A</v>
      </c>
      <c r="AA32" s="94"/>
      <c r="AB32" s="234">
        <f>IF(OR($B32="-",$D32="-",$G32="-"),"",VLOOKUP($B32,'Data source'!$B$15:$I$99,5,FALSE))</f>
        <v>41</v>
      </c>
      <c r="AC32" s="235" t="e">
        <f>IF(OR($B32="-",$D32="-",$G32="-"),"",(($S32/$S$52)*AB32))</f>
        <v>#N/A</v>
      </c>
      <c r="AD32" s="105"/>
      <c r="AE32" s="234">
        <f>IF(OR($B32="-",$D32="-",$G32="-"),"",VLOOKUP($B32,'Data source'!$B$15:$I$99,6,FALSE))</f>
        <v>44</v>
      </c>
      <c r="AF32" s="235" t="e">
        <f>IF(OR($B32="-",$D32="-",$G32="-"),"",(($S32/$S$52)*AE32))</f>
        <v>#N/A</v>
      </c>
      <c r="AG32" s="317"/>
      <c r="AH32" s="234">
        <f>IF(OR($B32="-",$D32="-",$G32="-"),"",VLOOKUP($B32,'Data source'!$B$15:$I$99,7,FALSE))</f>
        <v>100</v>
      </c>
      <c r="AI32" s="235" t="e">
        <f>IF(OR($B32="-",$D32="-",$G32="-"),"",(($S32/$S$52)*AH32))</f>
        <v>#N/A</v>
      </c>
      <c r="AJ32" s="317"/>
      <c r="AK32" s="234">
        <f>IF(OR($B32="-",$D32="-",$G32="-"),"",VLOOKUP($B32,'Data source'!$B$15:$I$99,8,FALSE))</f>
        <v>4.7</v>
      </c>
      <c r="AL32" s="235" t="e">
        <f>IF(OR($B32="-",$D32="-",$G32="-"),"",(($S32/$S$52)*AK32))</f>
        <v>#N/A</v>
      </c>
      <c r="AM32" s="213"/>
      <c r="AN32" s="193"/>
      <c r="AO32" s="213"/>
      <c r="AP32" s="226">
        <v>125</v>
      </c>
      <c r="AQ32" s="223" t="str">
        <f>IF(OR($B32="-",$D32="-",$G32="-"),"",VLOOKUP($B32,'Data source'!$B$15:$M$99,12,FALSE))</f>
        <v>Wet</v>
      </c>
      <c r="AR32" s="224" t="e">
        <f>IF(OR($B32="-",$D32="-",$G32="-"),"",IF($AQ32="Dry",$AP32/$R32/10,IF($AQ32="Wet",$AP32/($U32/100)*$R32/10,0)))</f>
        <v>#N/A</v>
      </c>
      <c r="AS32" s="211" t="e">
        <f>IF(OR($B32="-",$D32="-",$G32="-"),"",AR32/T32)</f>
        <v>#N/A</v>
      </c>
      <c r="AT32" s="225" t="e">
        <f>IF(OR($B32="-",$D32="-",$G32="-"),"",($AR32*$G32)/100)</f>
        <v>#N/A</v>
      </c>
      <c r="AU32" s="193"/>
      <c r="AV32" s="335"/>
      <c r="AW32" s="335"/>
      <c r="AX32" s="336" t="e">
        <f>Z32</f>
        <v>#N/A</v>
      </c>
      <c r="AY32" s="337"/>
      <c r="AZ32" s="338">
        <f>IF(OR($B32="-",$D32="-",$G32=0),"",VLOOKUP($B32,'Data source'!$B$15:$M$99,9,FALSE))</f>
        <v>51</v>
      </c>
      <c r="BA32" s="339" t="e">
        <f t="shared" si="0"/>
        <v>#N/A</v>
      </c>
      <c r="BB32" s="337"/>
      <c r="BC32" s="338">
        <f>IF(OR($B32="-",$D32="-",$G32=0),"",VLOOKUP($B32,'Data source'!$B$15:$M$99,10,FALSE))</f>
        <v>11</v>
      </c>
      <c r="BD32" s="339" t="e">
        <f t="shared" ref="BD32:BD42" si="1">IF(OR($AX32="",$BC32=""),"",$AX32*$BC32)</f>
        <v>#N/A</v>
      </c>
      <c r="BE32" s="337"/>
      <c r="BF32" s="338">
        <f>IF(OR($B32="-",$D32="-",$G32=0),"",VLOOKUP($B32,'Data source'!$B$15:$M$99,11,FALSE))</f>
        <v>49</v>
      </c>
      <c r="BG32" s="340" t="e">
        <f t="shared" ref="BG32:BG42" si="2">IF(OR($AX32="",$BF32=""),"",$AX32*$BF32)</f>
        <v>#N/A</v>
      </c>
      <c r="BH32" s="317"/>
      <c r="BI32" s="193"/>
      <c r="BJ32" s="275"/>
      <c r="BK32" s="7"/>
      <c r="BL32" s="1760"/>
      <c r="BM32" s="1760"/>
      <c r="BN32" s="7"/>
      <c r="BO32" s="1760"/>
      <c r="BP32" s="1760"/>
      <c r="BQ32" s="8"/>
      <c r="BR32" s="1760"/>
      <c r="BS32" s="1760"/>
      <c r="BT32" s="8"/>
      <c r="BU32" s="1760"/>
      <c r="BV32" s="1760"/>
      <c r="BW32" s="7"/>
      <c r="BX32" s="1760"/>
      <c r="BY32" s="1760"/>
      <c r="BZ32" s="7"/>
      <c r="CA32" s="7"/>
      <c r="CB32" s="7"/>
    </row>
    <row r="33" spans="1:80" s="193" customFormat="1" ht="3" customHeight="1" thickBot="1">
      <c r="A33" s="194"/>
      <c r="B33" s="567"/>
      <c r="C33" s="105"/>
      <c r="D33" s="422"/>
      <c r="E33" s="422"/>
      <c r="F33" s="75"/>
      <c r="G33" s="422"/>
      <c r="H33" s="75"/>
      <c r="I33" s="388"/>
      <c r="J33" s="478"/>
      <c r="K33" s="504"/>
      <c r="L33" s="424"/>
      <c r="M33" s="194"/>
      <c r="N33" s="277"/>
      <c r="O33" s="207"/>
      <c r="P33" s="390"/>
      <c r="Q33" s="425"/>
      <c r="R33" s="426"/>
      <c r="S33" s="392"/>
      <c r="T33" s="324"/>
      <c r="U33" s="324"/>
      <c r="V33" s="311"/>
      <c r="W33" s="317"/>
      <c r="X33" s="317"/>
      <c r="Y33" s="390"/>
      <c r="Z33" s="428"/>
      <c r="AA33" s="317"/>
      <c r="AB33" s="427"/>
      <c r="AC33" s="428"/>
      <c r="AD33" s="213"/>
      <c r="AE33" s="427"/>
      <c r="AF33" s="428"/>
      <c r="AG33" s="317"/>
      <c r="AH33" s="427"/>
      <c r="AI33" s="428"/>
      <c r="AJ33" s="317"/>
      <c r="AK33" s="427"/>
      <c r="AL33" s="428"/>
      <c r="AM33" s="213"/>
      <c r="AO33" s="213"/>
      <c r="AP33" s="524"/>
      <c r="AQ33" s="429"/>
      <c r="AR33" s="324"/>
      <c r="AS33" s="392"/>
      <c r="AT33" s="358"/>
      <c r="AV33" s="335"/>
      <c r="AW33" s="335"/>
      <c r="AX33" s="420"/>
      <c r="AY33" s="332"/>
      <c r="AZ33" s="324"/>
      <c r="BA33" s="307"/>
      <c r="BB33" s="332"/>
      <c r="BC33" s="324"/>
      <c r="BD33" s="307"/>
      <c r="BE33" s="332"/>
      <c r="BF33" s="324"/>
      <c r="BG33" s="421"/>
      <c r="BH33" s="317"/>
      <c r="BJ33" s="275"/>
      <c r="BL33" s="275"/>
      <c r="BM33" s="275"/>
      <c r="BO33" s="275"/>
      <c r="BP33" s="275"/>
      <c r="BQ33" s="194"/>
      <c r="BR33" s="275"/>
      <c r="BS33" s="275"/>
      <c r="BT33" s="194"/>
      <c r="BU33" s="275"/>
      <c r="BV33" s="275"/>
      <c r="BX33" s="275"/>
      <c r="BY33" s="275"/>
    </row>
    <row r="34" spans="1:80" ht="20.100000000000001" customHeight="1" thickBot="1">
      <c r="A34" s="194"/>
      <c r="B34" s="473"/>
      <c r="C34" s="118"/>
      <c r="D34" s="1917" t="s">
        <v>156</v>
      </c>
      <c r="E34" s="1918"/>
      <c r="F34" s="75"/>
      <c r="G34" s="116"/>
      <c r="H34" s="566"/>
      <c r="I34" s="410">
        <v>0</v>
      </c>
      <c r="J34" s="477"/>
      <c r="K34" s="84" t="str">
        <f>IF(D34="-",D32,D34)</f>
        <v>grazing - good conditions</v>
      </c>
      <c r="L34" s="128">
        <f>IF(OR($D$16="-",D32="-",$I34=0),0,I34)</f>
        <v>0</v>
      </c>
      <c r="M34" s="194"/>
      <c r="N34" s="277"/>
      <c r="O34" s="207"/>
      <c r="P34" s="390"/>
      <c r="Q34" s="507"/>
      <c r="R34" s="239" t="str">
        <f>IF(OR($B32="-",$K34="-",$I34&lt;=0),"",VLOOKUP($K34,'Data source'!$B$127:$C$137,2,FALSE))</f>
        <v/>
      </c>
      <c r="S34" s="237" t="str">
        <f>IF(OR($B32="-",$K34="-",$I34&lt;=0),"",$I34*$R34)</f>
        <v/>
      </c>
      <c r="T34" s="237" t="str">
        <f>IF(OR($B32="-",$K34="-",$I34&lt;=0),"",VLOOKUP($B32,'Data source'!$B$15:$I$99,3,FALSE))</f>
        <v/>
      </c>
      <c r="U34" s="237" t="str">
        <f>IF(OR($B32="-",$K34="-",$I34&lt;=0),"",VLOOKUP($B32,'Data source'!$B$15:$I$99,2,FALSE))</f>
        <v/>
      </c>
      <c r="V34" s="238" t="str">
        <f>IF(OR($B32="-",$K34="-",$I34&lt;=0),"",$S34*$T34)</f>
        <v/>
      </c>
      <c r="W34" s="317"/>
      <c r="X34" s="317"/>
      <c r="Y34" s="240" t="str">
        <f>IF(OR($B32="-",$K34="-",$I34&lt;=0),"",VLOOKUP($B32,'Data source'!$B$15:$I$99,4,FALSE))</f>
        <v/>
      </c>
      <c r="Z34" s="241" t="str">
        <f>IF(OR($B32="-",$K34="-",$I34&lt;=0),"",(($S34/$S$53)*$Y34))</f>
        <v/>
      </c>
      <c r="AA34" s="94"/>
      <c r="AB34" s="240" t="str">
        <f>IF(OR($B32="-",$K34="-",$I34&lt;=0),"",VLOOKUP($B32,'Data source'!$B$15:$I$99,5,FALSE))</f>
        <v/>
      </c>
      <c r="AC34" s="241" t="str">
        <f>IF(OR($B32="-",$K34="-",$I34&lt;=0),"",(($S34/$S$53)*AB34))</f>
        <v/>
      </c>
      <c r="AD34" s="105"/>
      <c r="AE34" s="240" t="str">
        <f>IF(OR($B32="-",$K34="-",$I34&lt;=0),"",VLOOKUP($B32,'Data source'!$B$15:$I$99,6,FALSE))</f>
        <v/>
      </c>
      <c r="AF34" s="241" t="str">
        <f>IF(OR($B32="-",$K34="-",$I34&lt;=0),"",(($S34/$S$53)*AE34))</f>
        <v/>
      </c>
      <c r="AG34" s="317"/>
      <c r="AH34" s="240" t="str">
        <f>IF(OR($B32="-",$K34="-",$I34&lt;=0),"",VLOOKUP($B32,'Data source'!$B$15:$I$99,7,FALSE))</f>
        <v/>
      </c>
      <c r="AI34" s="241" t="str">
        <f>IF(OR($B32="-",$K34="-",$I34&lt;=0),"",(($S34/$S$53)*AH34))</f>
        <v/>
      </c>
      <c r="AJ34" s="317"/>
      <c r="AK34" s="240" t="str">
        <f>IF(OR($B32="-",$K34="-",$I34&lt;=0),"",VLOOKUP($B32,'Data source'!$B$15:$I$99,8,FALSE))</f>
        <v/>
      </c>
      <c r="AL34" s="241" t="str">
        <f>IF(OR($B32="-",$K34="-",$I34&lt;=0),"",(($S34/$S$53)*AK34))</f>
        <v/>
      </c>
      <c r="AM34" s="213"/>
      <c r="AN34" s="193"/>
      <c r="AO34" s="213"/>
      <c r="AP34" s="372"/>
      <c r="AQ34" s="370" t="str">
        <f>IF(OR($B32="-",$K34="-",$I34=0),"",VLOOKUP($B32,'Data source'!$B$15:$M$99,12,FALSE))</f>
        <v/>
      </c>
      <c r="AR34" s="237" t="str">
        <f>IF(OR($B32="-",$K34="-",$I34=0),"",IF($AQ34="Dry",$AP32/$R34/10,IF($AQ34="Wet",$AP32/($U34/100)*$R34/10,0)))</f>
        <v/>
      </c>
      <c r="AS34" s="212" t="str">
        <f>IF(OR($B32="-",$K34="-",$I34=0),"",AR34/T34)</f>
        <v/>
      </c>
      <c r="AT34" s="371" t="str">
        <f>IF(OR($B32="-",$K34="-",$I34=0),"",($AR34*$I34)/100)</f>
        <v/>
      </c>
      <c r="AU34" s="193"/>
      <c r="AV34" s="335"/>
      <c r="AW34" s="335"/>
      <c r="AX34" s="341" t="str">
        <f>Z34</f>
        <v/>
      </c>
      <c r="AY34" s="342"/>
      <c r="AZ34" s="343" t="str">
        <f>IF(OR($B32="-",$K34="-",$I34=0),"",VLOOKUP($B32,'Data source'!$B$15:$M$99,9,FALSE))</f>
        <v/>
      </c>
      <c r="BA34" s="344" t="str">
        <f t="shared" si="0"/>
        <v/>
      </c>
      <c r="BB34" s="342"/>
      <c r="BC34" s="343" t="str">
        <f>IF(OR($B32="-",$K34="-",$I34=0),"",VLOOKUP($B32,'Data source'!$B$15:$M$99,10,FALSE))</f>
        <v/>
      </c>
      <c r="BD34" s="344" t="str">
        <f t="shared" si="1"/>
        <v/>
      </c>
      <c r="BE34" s="342"/>
      <c r="BF34" s="343" t="str">
        <f>IF(OR($B32="-",$K34="-",$I34=0),"",VLOOKUP($B32,'Data source'!$B$15:$M$99,11,FALSE))</f>
        <v/>
      </c>
      <c r="BG34" s="345" t="str">
        <f t="shared" si="2"/>
        <v/>
      </c>
      <c r="BH34" s="317"/>
      <c r="BI34" s="193"/>
      <c r="BJ34" s="275"/>
      <c r="BK34" s="7"/>
      <c r="BL34" s="129"/>
      <c r="BM34" s="129"/>
      <c r="BN34" s="7"/>
      <c r="BO34" s="129"/>
      <c r="BP34" s="129"/>
      <c r="BQ34" s="8"/>
      <c r="BR34" s="129"/>
      <c r="BS34" s="129"/>
      <c r="BT34" s="8"/>
      <c r="BU34" s="129"/>
      <c r="BV34" s="129"/>
      <c r="BW34" s="7"/>
      <c r="BX34" s="129"/>
      <c r="BY34" s="129"/>
      <c r="BZ34" s="7"/>
      <c r="CA34" s="7"/>
      <c r="CB34" s="7"/>
    </row>
    <row r="35" spans="1:80" ht="9.75" customHeight="1" thickBot="1">
      <c r="A35" s="194"/>
      <c r="B35" s="475"/>
      <c r="C35" s="105"/>
      <c r="D35" s="121"/>
      <c r="E35" s="125"/>
      <c r="F35" s="564"/>
      <c r="G35" s="67"/>
      <c r="H35" s="75"/>
      <c r="I35" s="120"/>
      <c r="J35" s="478"/>
      <c r="K35" s="84"/>
      <c r="L35" s="30"/>
      <c r="M35" s="194"/>
      <c r="N35" s="277"/>
      <c r="O35" s="207"/>
      <c r="P35" s="390"/>
      <c r="Q35" s="507"/>
      <c r="R35" s="522"/>
      <c r="S35" s="324"/>
      <c r="T35" s="324"/>
      <c r="U35" s="324"/>
      <c r="V35" s="30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35"/>
      <c r="AW35" s="335"/>
      <c r="AX35" s="346"/>
      <c r="AY35" s="332"/>
      <c r="AZ35" s="347"/>
      <c r="BA35" s="348"/>
      <c r="BB35" s="332"/>
      <c r="BC35" s="347"/>
      <c r="BD35" s="307" t="str">
        <f t="shared" si="1"/>
        <v/>
      </c>
      <c r="BE35" s="332"/>
      <c r="BF35" s="352"/>
      <c r="BG35" s="307" t="str">
        <f t="shared" si="2"/>
        <v/>
      </c>
      <c r="BH35" s="317"/>
      <c r="BI35" s="193"/>
      <c r="BJ35" s="275"/>
      <c r="BK35" s="7"/>
      <c r="BL35" s="129"/>
      <c r="BM35" s="129"/>
      <c r="BN35" s="7"/>
      <c r="BO35" s="129"/>
      <c r="BP35" s="129"/>
      <c r="BQ35" s="8"/>
      <c r="BR35" s="129"/>
      <c r="BS35" s="129"/>
      <c r="BT35" s="8"/>
      <c r="BU35" s="129"/>
      <c r="BV35" s="129"/>
      <c r="BW35" s="7"/>
      <c r="BX35" s="129"/>
      <c r="BY35" s="129"/>
      <c r="BZ35" s="7"/>
      <c r="CA35" s="7"/>
      <c r="CB35" s="7"/>
    </row>
    <row r="36" spans="1:80" s="7" customFormat="1" ht="20.100000000000001" customHeight="1" thickBot="1">
      <c r="A36" s="194" t="s">
        <v>131</v>
      </c>
      <c r="B36" s="471" t="s">
        <v>17</v>
      </c>
      <c r="C36" s="122"/>
      <c r="D36" s="1919" t="s">
        <v>89</v>
      </c>
      <c r="E36" s="1920"/>
      <c r="F36" s="75"/>
      <c r="G36" s="229">
        <v>2</v>
      </c>
      <c r="H36" s="565"/>
      <c r="I36" s="124"/>
      <c r="J36" s="479"/>
      <c r="K36" s="86"/>
      <c r="L36" s="128">
        <f>IF(OR($D$16="-",$D36="-",$G36=0),0,G36)</f>
        <v>2</v>
      </c>
      <c r="M36" s="194"/>
      <c r="N36" s="277"/>
      <c r="O36" s="216"/>
      <c r="P36" s="390"/>
      <c r="Q36" s="425"/>
      <c r="R36" s="232" t="e">
        <f>IF(OR($B36="-",$D36="-",$G36="-"),"",VLOOKUP($D36,'Data source'!$B$127:$C$137,2,FALSE))</f>
        <v>#N/A</v>
      </c>
      <c r="S36" s="211" t="e">
        <f>IF(OR($B36="-",$D36="-",$G36="-"),"",G36*R36)</f>
        <v>#N/A</v>
      </c>
      <c r="T36" s="224">
        <f>IF(OR($B36="-",$D36="-",$G36="-"),"",VLOOKUP($B36,'Data source'!$B$15:$I$99,3,FALSE))</f>
        <v>12</v>
      </c>
      <c r="U36" s="224">
        <f>IF(OR($B36="-",$D36="-",$G36="-"),"",VLOOKUP($B36,'Data source'!$B$15:$I$99,2,FALSE))</f>
        <v>11</v>
      </c>
      <c r="V36" s="233" t="e">
        <f>IF(OR($B36="-",$D36="-",$G36="-"),"",S36*T36)</f>
        <v>#N/A</v>
      </c>
      <c r="W36" s="317"/>
      <c r="X36" s="317"/>
      <c r="Y36" s="234">
        <f>IF(OR($B36="-",$D36="-",$G36="-"),"",VLOOKUP($B36,'Data source'!$B$15:$I$99,4,FALSE))</f>
        <v>16</v>
      </c>
      <c r="Z36" s="235" t="e">
        <f>IF(OR($B36="-",$D36="-",$G36="-"),"",(($S36/$S$52)*Y36))</f>
        <v>#N/A</v>
      </c>
      <c r="AA36" s="94"/>
      <c r="AB36" s="234">
        <f>IF(OR($B36="-",$D36="-",$G36="-"),"",VLOOKUP($B36,'Data source'!$B$15:$I$99,5,FALSE))</f>
        <v>23</v>
      </c>
      <c r="AC36" s="235" t="e">
        <f>IF(OR($B36="-",$D36="-",$G36="-"),"",(($S36/$S$52)*AB36))</f>
        <v>#N/A</v>
      </c>
      <c r="AD36" s="105"/>
      <c r="AE36" s="234">
        <f>IF(OR($B36="-",$D36="-",$G36="-"),"",VLOOKUP($B36,'Data source'!$B$15:$I$99,6,FALSE))</f>
        <v>47</v>
      </c>
      <c r="AF36" s="235" t="e">
        <f>IF(OR($B36="-",$D36="-",$G36="-"),"",(($S36/$S$52)*AE36))</f>
        <v>#N/A</v>
      </c>
      <c r="AG36" s="317"/>
      <c r="AH36" s="234">
        <f>IF(OR($B36="-",$D36="-",$G36="-"),"",VLOOKUP($B36,'Data source'!$B$15:$I$99,7,FALSE))</f>
        <v>0.1</v>
      </c>
      <c r="AI36" s="235" t="e">
        <f>IF(OR($B36="-",$D36="-",$G36="-"),"",(($S36/$S$52)*AH36))</f>
        <v>#N/A</v>
      </c>
      <c r="AJ36" s="317"/>
      <c r="AK36" s="234">
        <f>IF(OR($B36="-",$D36="-",$G36="-"),"",VLOOKUP($B36,'Data source'!$B$15:$I$99,8,FALSE))</f>
        <v>0</v>
      </c>
      <c r="AL36" s="235" t="e">
        <f>IF(OR($B36="-",$D36="-",$G36="-"),"",(($S36/$S$52)*AK36))</f>
        <v>#N/A</v>
      </c>
      <c r="AM36" s="213"/>
      <c r="AN36" s="193"/>
      <c r="AO36" s="213"/>
      <c r="AP36" s="226">
        <v>280</v>
      </c>
      <c r="AQ36" s="223" t="str">
        <f>IF(OR($B36="-",$D36="-",$G36="-"),"",VLOOKUP($B36,'Data source'!$B$15:$M$99,12,FALSE))</f>
        <v>Dry</v>
      </c>
      <c r="AR36" s="224" t="e">
        <f>IF(OR($B36="-",$D36="-",$G36="-"),"",IF($AQ36="Dry",$AP36/$R36/10,IF($AQ36="Wet",$AP36/($U36/100)*$R36/10,0)))</f>
        <v>#N/A</v>
      </c>
      <c r="AS36" s="211" t="e">
        <f>IF(OR($B36="-",$D36="-",$G36="-"),"",AR36/T36)</f>
        <v>#N/A</v>
      </c>
      <c r="AT36" s="225" t="e">
        <f>IF(OR($B36="-",$D36="-",$G36="-"),"",($AR36*$G36)/100)</f>
        <v>#N/A</v>
      </c>
      <c r="AU36" s="193"/>
      <c r="AV36" s="335"/>
      <c r="AW36" s="335"/>
      <c r="AX36" s="336" t="e">
        <f>Z36</f>
        <v>#N/A</v>
      </c>
      <c r="AY36" s="337"/>
      <c r="AZ36" s="338">
        <f>IF(OR($B36="-",$D36="-",$G36=0),"",VLOOKUP($B36,'Data source'!$B$15:$M$99,9,FALSE))</f>
        <v>0</v>
      </c>
      <c r="BA36" s="339" t="e">
        <f t="shared" si="0"/>
        <v>#N/A</v>
      </c>
      <c r="BB36" s="337"/>
      <c r="BC36" s="338">
        <f>IF(OR($B36="-",$D36="-",$G36=0),"",VLOOKUP($B36,'Data source'!$B$15:$M$99,10,FALSE))</f>
        <v>0</v>
      </c>
      <c r="BD36" s="339" t="e">
        <f t="shared" si="1"/>
        <v>#N/A</v>
      </c>
      <c r="BE36" s="337"/>
      <c r="BF36" s="338">
        <f>IF(OR($B36="-",$D36="-",$G36=0),"",VLOOKUP($B36,'Data source'!$B$15:$M$99,11,FALSE))</f>
        <v>0</v>
      </c>
      <c r="BG36" s="340" t="e">
        <f t="shared" si="2"/>
        <v>#N/A</v>
      </c>
      <c r="BH36" s="331"/>
      <c r="BI36" s="207"/>
      <c r="BJ36" s="207"/>
      <c r="BL36" s="30"/>
      <c r="BM36" s="51"/>
      <c r="BO36" s="30"/>
      <c r="BP36" s="51"/>
      <c r="BQ36" s="8"/>
      <c r="BR36" s="30"/>
      <c r="BS36" s="51"/>
      <c r="BT36" s="8"/>
      <c r="BU36" s="30"/>
      <c r="BV36" s="51"/>
      <c r="BX36" s="30"/>
      <c r="BY36" s="51"/>
    </row>
    <row r="37" spans="1:80" s="193" customFormat="1" ht="3" customHeight="1" thickBot="1">
      <c r="A37" s="194"/>
      <c r="B37" s="480"/>
      <c r="C37" s="105"/>
      <c r="D37" s="422"/>
      <c r="E37" s="422"/>
      <c r="F37" s="75"/>
      <c r="G37" s="422"/>
      <c r="H37" s="75"/>
      <c r="I37" s="388"/>
      <c r="J37" s="482"/>
      <c r="K37" s="423"/>
      <c r="L37" s="424"/>
      <c r="M37" s="194"/>
      <c r="N37" s="277"/>
      <c r="O37" s="216"/>
      <c r="P37" s="390"/>
      <c r="Q37" s="425"/>
      <c r="R37" s="426"/>
      <c r="S37" s="392"/>
      <c r="T37" s="324"/>
      <c r="U37" s="324"/>
      <c r="V37" s="311"/>
      <c r="W37" s="317"/>
      <c r="X37" s="317"/>
      <c r="Y37" s="427"/>
      <c r="Z37" s="428"/>
      <c r="AA37" s="317"/>
      <c r="AB37" s="427"/>
      <c r="AC37" s="428"/>
      <c r="AD37" s="213"/>
      <c r="AE37" s="427"/>
      <c r="AF37" s="428"/>
      <c r="AG37" s="317"/>
      <c r="AH37" s="427"/>
      <c r="AI37" s="428"/>
      <c r="AJ37" s="317"/>
      <c r="AK37" s="427"/>
      <c r="AL37" s="428"/>
      <c r="AM37" s="213"/>
      <c r="AO37" s="213"/>
      <c r="AP37" s="524"/>
      <c r="AQ37" s="429"/>
      <c r="AR37" s="324"/>
      <c r="AS37" s="392"/>
      <c r="AT37" s="358"/>
      <c r="AV37" s="335"/>
      <c r="AW37" s="335"/>
      <c r="AX37" s="420"/>
      <c r="AY37" s="332"/>
      <c r="AZ37" s="324"/>
      <c r="BA37" s="307"/>
      <c r="BB37" s="332"/>
      <c r="BC37" s="324"/>
      <c r="BD37" s="307"/>
      <c r="BE37" s="332"/>
      <c r="BF37" s="324"/>
      <c r="BG37" s="421"/>
      <c r="BH37" s="331"/>
      <c r="BI37" s="207"/>
      <c r="BJ37" s="207"/>
      <c r="BL37" s="207"/>
      <c r="BM37" s="409"/>
      <c r="BO37" s="207"/>
      <c r="BP37" s="409"/>
      <c r="BQ37" s="194"/>
      <c r="BR37" s="207"/>
      <c r="BS37" s="409"/>
      <c r="BT37" s="194"/>
      <c r="BU37" s="207"/>
      <c r="BV37" s="409"/>
      <c r="BX37" s="207"/>
      <c r="BY37" s="409"/>
    </row>
    <row r="38" spans="1:80" s="7" customFormat="1" ht="20.100000000000001" customHeight="1" thickBot="1">
      <c r="A38" s="194"/>
      <c r="B38" s="473"/>
      <c r="C38" s="118"/>
      <c r="D38" s="1917" t="s">
        <v>156</v>
      </c>
      <c r="E38" s="1918"/>
      <c r="F38" s="75"/>
      <c r="G38" s="116"/>
      <c r="H38" s="566"/>
      <c r="I38" s="410">
        <v>0</v>
      </c>
      <c r="J38" s="481"/>
      <c r="K38" s="84" t="str">
        <f>IF(D38="-",D36,D38)</f>
        <v>grazing - good conditions</v>
      </c>
      <c r="L38" s="128">
        <f>IF(OR($D$16="-",D36="-",$I38=0),0,I38)</f>
        <v>0</v>
      </c>
      <c r="M38" s="194"/>
      <c r="N38" s="277"/>
      <c r="O38" s="216"/>
      <c r="P38" s="390"/>
      <c r="Q38" s="507"/>
      <c r="R38" s="239" t="str">
        <f>IF(OR($B36="-",$K38="-",$I38&lt;=0),"",VLOOKUP($K38,'Data source'!$B$127:$C$137,2,FALSE))</f>
        <v/>
      </c>
      <c r="S38" s="237" t="str">
        <f>IF(OR($B36="-",$K38="-",$I38&lt;=0),"",$I38*$R38)</f>
        <v/>
      </c>
      <c r="T38" s="237" t="str">
        <f>IF(OR($B36="-",$K38="-",$I38&lt;=0),"",VLOOKUP($B36,'Data source'!$B$15:$I$99,3,FALSE))</f>
        <v/>
      </c>
      <c r="U38" s="237" t="str">
        <f>IF(OR($B36="-",$K38="-",$I38&lt;=0),"",VLOOKUP($B36,'Data source'!$B$15:$I$99,2,FALSE))</f>
        <v/>
      </c>
      <c r="V38" s="238" t="str">
        <f>IF(OR($B36="-",$K38="-",$I38&lt;=0),"",$S38*$T38)</f>
        <v/>
      </c>
      <c r="W38" s="317"/>
      <c r="X38" s="317"/>
      <c r="Y38" s="240" t="str">
        <f>IF(OR($B36="-",$K38="-",$I38&lt;=0),"",VLOOKUP($B36,'Data source'!$B$15:$I$99,4,FALSE))</f>
        <v/>
      </c>
      <c r="Z38" s="241" t="str">
        <f>IF(OR($B36="-",$K38="-",$I38&lt;=0),"",(($S38/$S$53)*$Y38))</f>
        <v/>
      </c>
      <c r="AA38" s="94"/>
      <c r="AB38" s="240" t="str">
        <f>IF(OR($B36="-",$K38="-",$I38&lt;=0),"",VLOOKUP($B36,'Data source'!$B$15:$I$99,5,FALSE))</f>
        <v/>
      </c>
      <c r="AC38" s="241" t="str">
        <f>IF(OR($B36="-",$K38="-",$I38&lt;=0),"",(($S38/$S$53)*AB38))</f>
        <v/>
      </c>
      <c r="AD38" s="105"/>
      <c r="AE38" s="240" t="str">
        <f>IF(OR($B36="-",$K38="-",$I38&lt;=0),"",VLOOKUP($B36,'Data source'!$B$15:$I$99,6,FALSE))</f>
        <v/>
      </c>
      <c r="AF38" s="241" t="str">
        <f>IF(OR($B36="-",$K38="-",$I38&lt;=0),"",(($S38/$S$53)*AE38))</f>
        <v/>
      </c>
      <c r="AG38" s="317"/>
      <c r="AH38" s="240" t="str">
        <f>IF(OR($B36="-",$K38="-",$I38&lt;=0),"",VLOOKUP($B36,'Data source'!$B$15:$I$99,7,FALSE))</f>
        <v/>
      </c>
      <c r="AI38" s="241" t="str">
        <f>IF(OR($B36="-",$K38="-",$I38&lt;=0),"",(($S38/$S$53)*AH38))</f>
        <v/>
      </c>
      <c r="AJ38" s="317"/>
      <c r="AK38" s="240" t="str">
        <f>IF(OR($B36="-",$K38="-",$I38&lt;=0),"",VLOOKUP($B36,'Data source'!$B$15:$I$99,8,FALSE))</f>
        <v/>
      </c>
      <c r="AL38" s="241" t="str">
        <f>IF(OR($B36="-",$K38="-",$I38&lt;=0),"",(($S38/$S$53)*AK38))</f>
        <v/>
      </c>
      <c r="AM38" s="213"/>
      <c r="AN38" s="193"/>
      <c r="AO38" s="213"/>
      <c r="AP38" s="372"/>
      <c r="AQ38" s="370" t="str">
        <f>IF(OR($B36="-",$K38="-",$I38=0),"",VLOOKUP($B36,'Data source'!$B$15:$M$99,12,FALSE))</f>
        <v/>
      </c>
      <c r="AR38" s="237" t="str">
        <f>IF(OR($B36="-",$K38="-",$I38=0),"",IF($AQ38="Dry",$AP36/$R38/10,IF($AQ38="Wet",$AP36/($U38/100)*$R38/10,0)))</f>
        <v/>
      </c>
      <c r="AS38" s="212" t="str">
        <f>IF(OR($B36="-",$K38="-",$I38=0),"",AR38/T38)</f>
        <v/>
      </c>
      <c r="AT38" s="371" t="str">
        <f>IF(OR($B36="-",$K38="-",$I38=0),"",($AR38*$I38)/100)</f>
        <v/>
      </c>
      <c r="AU38" s="193"/>
      <c r="AV38" s="335"/>
      <c r="AW38" s="335"/>
      <c r="AX38" s="341" t="str">
        <f>Z38</f>
        <v/>
      </c>
      <c r="AY38" s="342"/>
      <c r="AZ38" s="343" t="str">
        <f>IF(OR($B36="-",$K38="-",$I38=0),"",VLOOKUP($B36,'Data source'!$B$15:$M$99,9,FALSE))</f>
        <v/>
      </c>
      <c r="BA38" s="344" t="str">
        <f t="shared" si="0"/>
        <v/>
      </c>
      <c r="BB38" s="342"/>
      <c r="BC38" s="343" t="str">
        <f>IF(OR($B36="-",$K38="-",$I38=0),"",VLOOKUP($B36,'Data source'!$B$15:$M$99,10,FALSE))</f>
        <v/>
      </c>
      <c r="BD38" s="344" t="str">
        <f t="shared" si="1"/>
        <v/>
      </c>
      <c r="BE38" s="342"/>
      <c r="BF38" s="343" t="str">
        <f>IF(OR($B36="-",$K38="-",$I38=0),"",VLOOKUP($B36,'Data source'!$B$15:$M$99,11,FALSE))</f>
        <v/>
      </c>
      <c r="BG38" s="345" t="str">
        <f t="shared" si="2"/>
        <v/>
      </c>
      <c r="BH38" s="331"/>
      <c r="BI38" s="207"/>
      <c r="BJ38" s="207"/>
      <c r="BL38" s="30"/>
      <c r="BM38" s="51"/>
      <c r="BO38" s="30"/>
      <c r="BP38" s="51"/>
      <c r="BQ38" s="8"/>
      <c r="BR38" s="30"/>
      <c r="BS38" s="51"/>
      <c r="BT38" s="8"/>
      <c r="BU38" s="30"/>
      <c r="BV38" s="51"/>
      <c r="BX38" s="30"/>
      <c r="BY38" s="51"/>
    </row>
    <row r="39" spans="1:80" s="7" customFormat="1" ht="9" customHeight="1" thickBot="1">
      <c r="A39" s="194"/>
      <c r="B39" s="475"/>
      <c r="C39" s="105"/>
      <c r="D39" s="121"/>
      <c r="E39" s="121"/>
      <c r="F39" s="557"/>
      <c r="G39" s="67"/>
      <c r="H39" s="75"/>
      <c r="I39" s="120"/>
      <c r="J39" s="482"/>
      <c r="K39" s="84"/>
      <c r="L39" s="31"/>
      <c r="M39" s="194"/>
      <c r="N39" s="277"/>
      <c r="O39" s="216"/>
      <c r="P39" s="390"/>
      <c r="Q39" s="507"/>
      <c r="R39" s="522"/>
      <c r="S39" s="324"/>
      <c r="T39" s="324"/>
      <c r="U39" s="324"/>
      <c r="V39" s="30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193"/>
      <c r="AV39" s="335"/>
      <c r="AW39" s="335"/>
      <c r="AX39" s="346"/>
      <c r="AY39" s="332"/>
      <c r="AZ39" s="347"/>
      <c r="BA39" s="348"/>
      <c r="BB39" s="332"/>
      <c r="BC39" s="347"/>
      <c r="BD39" s="307" t="str">
        <f t="shared" si="1"/>
        <v/>
      </c>
      <c r="BE39" s="332"/>
      <c r="BF39" s="349"/>
      <c r="BG39" s="307" t="str">
        <f t="shared" si="2"/>
        <v/>
      </c>
      <c r="BH39" s="331"/>
      <c r="BI39" s="207"/>
      <c r="BJ39" s="207"/>
      <c r="BL39" s="30"/>
      <c r="BM39" s="51"/>
      <c r="BO39" s="30"/>
      <c r="BP39" s="51"/>
      <c r="BQ39" s="8"/>
      <c r="BR39" s="30"/>
      <c r="BS39" s="51"/>
      <c r="BT39" s="8"/>
      <c r="BU39" s="30"/>
      <c r="BV39" s="51"/>
      <c r="BX39" s="30"/>
      <c r="BY39" s="51"/>
    </row>
    <row r="40" spans="1:80" ht="20.100000000000001" customHeight="1" thickBot="1">
      <c r="A40" s="194" t="s">
        <v>132</v>
      </c>
      <c r="B40" s="441" t="s">
        <v>15</v>
      </c>
      <c r="C40" s="122"/>
      <c r="D40" s="1919" t="s">
        <v>89</v>
      </c>
      <c r="E40" s="1920"/>
      <c r="F40" s="75"/>
      <c r="G40" s="229">
        <v>3</v>
      </c>
      <c r="H40" s="565"/>
      <c r="I40" s="124"/>
      <c r="J40" s="483"/>
      <c r="K40" s="87"/>
      <c r="L40" s="128">
        <f>IF(OR($D$16="-",$D40="-",$G40=0),0,G40)</f>
        <v>3</v>
      </c>
      <c r="M40" s="194"/>
      <c r="N40" s="277"/>
      <c r="O40" s="217"/>
      <c r="P40" s="390"/>
      <c r="Q40" s="425"/>
      <c r="R40" s="232" t="e">
        <f>IF(OR($B40="-",$D40="-",$G40="-"),"",VLOOKUP($D40,'Data source'!$B$127:$C$137,2,FALSE))</f>
        <v>#N/A</v>
      </c>
      <c r="S40" s="211" t="e">
        <f>IF(OR($B40="-",$D40="-",$G40="-"),"",G40*R40)</f>
        <v>#N/A</v>
      </c>
      <c r="T40" s="224" t="e">
        <f>IF(OR($B40="-",$D40="-",$G40="-"),"",VLOOKUP($B40,'Data source'!$B$15:$I$99,3,FALSE))</f>
        <v>#N/A</v>
      </c>
      <c r="U40" s="224" t="e">
        <f>IF(OR($B40="-",$D40="-",$G40="-"),"",VLOOKUP($B40,'Data source'!$B$15:$I$99,2,FALSE))</f>
        <v>#N/A</v>
      </c>
      <c r="V40" s="233" t="e">
        <f>IF(OR($B40="-",$D40="-",$G40="-"),"",S40*T40)</f>
        <v>#N/A</v>
      </c>
      <c r="W40" s="317"/>
      <c r="X40" s="317"/>
      <c r="Y40" s="234" t="e">
        <f>IF(OR($B40="-",$D40="-",$G40="-"),"",VLOOKUP($B40,'Data source'!$B$15:$I$99,4,FALSE))</f>
        <v>#N/A</v>
      </c>
      <c r="Z40" s="235" t="e">
        <f>IF(OR($B40="-",$D40="-",$G40="-"),"",(($S40/$S$52)*Y40))</f>
        <v>#N/A</v>
      </c>
      <c r="AA40" s="94"/>
      <c r="AB40" s="234" t="e">
        <f>IF(OR($B40="-",$D40="-",$G40="-"),"",VLOOKUP($B40,'Data source'!$B$15:$I$99,5,FALSE))</f>
        <v>#N/A</v>
      </c>
      <c r="AC40" s="235" t="e">
        <f>IF(OR($B40="-",$D40="-",$G40="-"),"",(($S40/$S$52)*AB40))</f>
        <v>#N/A</v>
      </c>
      <c r="AD40" s="105"/>
      <c r="AE40" s="234" t="e">
        <f>IF(OR($B40="-",$D40="-",$G40="-"),"",VLOOKUP($B40,'Data source'!$B$15:$I$99,6,FALSE))</f>
        <v>#N/A</v>
      </c>
      <c r="AF40" s="235" t="e">
        <f>IF(OR($B40="-",$D40="-",$G40="-"),"",(($S40/$S$52)*AE40))</f>
        <v>#N/A</v>
      </c>
      <c r="AG40" s="317"/>
      <c r="AH40" s="234" t="e">
        <f>IF(OR($B40="-",$D40="-",$G40="-"),"",VLOOKUP($B40,'Data source'!$B$15:$I$99,7,FALSE))</f>
        <v>#N/A</v>
      </c>
      <c r="AI40" s="235" t="e">
        <f>IF(OR($B40="-",$D40="-",$G40="-"),"",(($S40/$S$52)*AH40))</f>
        <v>#N/A</v>
      </c>
      <c r="AJ40" s="317"/>
      <c r="AK40" s="234" t="e">
        <f>IF(OR($B40="-",$D40="-",$G40="-"),"",VLOOKUP($B40,'Data source'!$B$15:$I$99,8,FALSE))</f>
        <v>#N/A</v>
      </c>
      <c r="AL40" s="235" t="e">
        <f>IF(OR($B40="-",$D40="-",$G40="-"),"",(($S40/$S$52)*AK40))</f>
        <v>#N/A</v>
      </c>
      <c r="AM40" s="213"/>
      <c r="AN40" s="193"/>
      <c r="AO40" s="213"/>
      <c r="AP40" s="226">
        <v>180</v>
      </c>
      <c r="AQ40" s="223" t="e">
        <f>IF(OR($B40="-",$D40="-",$G40="-"),"",VLOOKUP($B40,'Data source'!$B$15:$M$99,12,FALSE))</f>
        <v>#N/A</v>
      </c>
      <c r="AR40" s="224" t="e">
        <f>IF(OR($B40="-",$D40="-",$G40="-"),"",IF($AQ40="Dry",$AP40/$R40/10,IF($AQ40="Wet",$AP40/($U40/100)*$R40/10,0)))</f>
        <v>#N/A</v>
      </c>
      <c r="AS40" s="211" t="e">
        <f>IF(OR($B40="-",$D40="-",$G40="-"),"",AR40/T40)</f>
        <v>#N/A</v>
      </c>
      <c r="AT40" s="225" t="e">
        <f>IF(OR($B40="-",$D40="-",$G40="-"),"",($AR40*$G40)/100)</f>
        <v>#N/A</v>
      </c>
      <c r="AU40" s="193"/>
      <c r="AV40" s="335"/>
      <c r="AW40" s="335"/>
      <c r="AX40" s="336" t="e">
        <f>Z40</f>
        <v>#N/A</v>
      </c>
      <c r="AY40" s="337"/>
      <c r="AZ40" s="338" t="e">
        <f>IF(OR($B40="-",$D40="-",$G40=0),"",VLOOKUP($B40,'Data source'!$B$15:$M$99,9,FALSE))</f>
        <v>#N/A</v>
      </c>
      <c r="BA40" s="339" t="e">
        <f t="shared" si="0"/>
        <v>#N/A</v>
      </c>
      <c r="BB40" s="337"/>
      <c r="BC40" s="338" t="e">
        <f>IF(OR($B40="-",$D40="-",$G40=0),"",VLOOKUP($B40,'Data source'!$B$15:$M$99,10,FALSE))</f>
        <v>#N/A</v>
      </c>
      <c r="BD40" s="339" t="e">
        <f t="shared" si="1"/>
        <v>#N/A</v>
      </c>
      <c r="BE40" s="337"/>
      <c r="BF40" s="338" t="e">
        <f>IF(OR($B40="-",$D40="-",$G40=0),"",VLOOKUP($B40,'Data source'!$B$15:$M$99,11,FALSE))</f>
        <v>#N/A</v>
      </c>
      <c r="BG40" s="340" t="e">
        <f t="shared" si="2"/>
        <v>#N/A</v>
      </c>
      <c r="BH40" s="324"/>
      <c r="BI40" s="353"/>
      <c r="BJ40" s="204"/>
      <c r="BK40" s="7"/>
      <c r="BL40" s="13"/>
      <c r="BM40" s="13"/>
      <c r="BN40" s="7"/>
      <c r="BO40" s="13"/>
      <c r="BP40" s="13"/>
      <c r="BQ40" s="8"/>
      <c r="BR40" s="13"/>
      <c r="BS40" s="13"/>
      <c r="BT40" s="8"/>
      <c r="BU40" s="13"/>
      <c r="BV40" s="13"/>
      <c r="BW40" s="7"/>
      <c r="BX40" s="13"/>
      <c r="BY40" s="13"/>
      <c r="BZ40" s="7"/>
      <c r="CA40" s="7"/>
      <c r="CB40" s="7"/>
    </row>
    <row r="41" spans="1:80" s="193" customFormat="1" ht="3" customHeight="1" thickBot="1">
      <c r="A41" s="194"/>
      <c r="B41" s="480"/>
      <c r="C41" s="105"/>
      <c r="D41" s="422"/>
      <c r="E41" s="422"/>
      <c r="F41" s="75"/>
      <c r="G41" s="422"/>
      <c r="H41" s="75"/>
      <c r="I41" s="388"/>
      <c r="J41" s="485"/>
      <c r="K41" s="430"/>
      <c r="L41" s="424"/>
      <c r="M41" s="194"/>
      <c r="N41" s="277"/>
      <c r="O41" s="217"/>
      <c r="P41" s="390"/>
      <c r="Q41" s="425"/>
      <c r="R41" s="426"/>
      <c r="S41" s="392"/>
      <c r="T41" s="324"/>
      <c r="U41" s="324"/>
      <c r="V41" s="311"/>
      <c r="W41" s="317"/>
      <c r="X41" s="317"/>
      <c r="Y41" s="427"/>
      <c r="Z41" s="428"/>
      <c r="AA41" s="317"/>
      <c r="AB41" s="427"/>
      <c r="AC41" s="428"/>
      <c r="AD41" s="213"/>
      <c r="AE41" s="427"/>
      <c r="AF41" s="428"/>
      <c r="AG41" s="317"/>
      <c r="AH41" s="427"/>
      <c r="AI41" s="428"/>
      <c r="AJ41" s="317"/>
      <c r="AK41" s="427"/>
      <c r="AL41" s="428"/>
      <c r="AM41" s="213"/>
      <c r="AO41" s="213"/>
      <c r="AP41" s="524"/>
      <c r="AQ41" s="429"/>
      <c r="AR41" s="324"/>
      <c r="AS41" s="392"/>
      <c r="AT41" s="358"/>
      <c r="AV41" s="335"/>
      <c r="AW41" s="335"/>
      <c r="AX41" s="420"/>
      <c r="AY41" s="332"/>
      <c r="AZ41" s="324"/>
      <c r="BA41" s="307"/>
      <c r="BB41" s="332"/>
      <c r="BC41" s="324"/>
      <c r="BD41" s="307"/>
      <c r="BE41" s="332"/>
      <c r="BF41" s="324"/>
      <c r="BG41" s="421"/>
      <c r="BH41" s="324"/>
      <c r="BI41" s="353"/>
      <c r="BJ41" s="204"/>
      <c r="BL41" s="353"/>
      <c r="BM41" s="353"/>
      <c r="BO41" s="353"/>
      <c r="BP41" s="353"/>
      <c r="BQ41" s="194"/>
      <c r="BR41" s="353"/>
      <c r="BS41" s="353"/>
      <c r="BT41" s="194"/>
      <c r="BU41" s="353"/>
      <c r="BV41" s="353"/>
      <c r="BX41" s="353"/>
      <c r="BY41" s="353"/>
    </row>
    <row r="42" spans="1:80" ht="20.100000000000001" customHeight="1" thickBot="1">
      <c r="A42" s="194"/>
      <c r="B42" s="473"/>
      <c r="C42" s="118"/>
      <c r="D42" s="1917" t="s">
        <v>156</v>
      </c>
      <c r="E42" s="1918"/>
      <c r="F42" s="562"/>
      <c r="G42" s="505"/>
      <c r="H42" s="75"/>
      <c r="I42" s="410">
        <v>0</v>
      </c>
      <c r="J42" s="484"/>
      <c r="K42" s="84" t="str">
        <f>IF(D42="-",D40,D42)</f>
        <v>grazing - good conditions</v>
      </c>
      <c r="L42" s="128">
        <f>IF(OR($D$16="-",D40="-",$I42=0),0,I42)</f>
        <v>0</v>
      </c>
      <c r="M42" s="194"/>
      <c r="N42" s="277"/>
      <c r="O42" s="217"/>
      <c r="P42" s="390"/>
      <c r="Q42" s="507"/>
      <c r="R42" s="239" t="str">
        <f>IF(OR($B40="-",$K42="-",$I42&lt;=0),"",VLOOKUP($K42,'Data source'!$B$127:$C$137,2,FALSE))</f>
        <v/>
      </c>
      <c r="S42" s="237" t="str">
        <f>IF(OR($B40="-",$K42="-",$I42&lt;=0),"",$I42*$R42)</f>
        <v/>
      </c>
      <c r="T42" s="237" t="str">
        <f>IF(OR($B40="-",$K42="-",$I42&lt;=0),"",VLOOKUP($B40,'Data source'!$B$15:$I$99,3,FALSE))</f>
        <v/>
      </c>
      <c r="U42" s="237" t="str">
        <f>IF(OR($B40="-",$K42="-",$I42&lt;=0),"",VLOOKUP($B40,'Data source'!$B$15:$I$99,2,FALSE))</f>
        <v/>
      </c>
      <c r="V42" s="238" t="str">
        <f>IF(OR($B40="-",$K42="-",$I42&lt;=0),"",$S42*$T42)</f>
        <v/>
      </c>
      <c r="W42" s="317"/>
      <c r="X42" s="317"/>
      <c r="Y42" s="240" t="str">
        <f>IF(OR($B40="-",$K42="-",$I42&lt;=0),"",VLOOKUP($B40,'Data source'!$B$15:$I$99,4,FALSE))</f>
        <v/>
      </c>
      <c r="Z42" s="241" t="str">
        <f>IF(OR($B40="-",$K42="-",$I42&lt;=0),"",(($S42/$S$53)*$Y42))</f>
        <v/>
      </c>
      <c r="AA42" s="94"/>
      <c r="AB42" s="240" t="str">
        <f>IF(OR($B40="-",$K42="-",$I42&lt;=0),"",VLOOKUP($B40,'Data source'!$B$15:$I$99,5,FALSE))</f>
        <v/>
      </c>
      <c r="AC42" s="241" t="str">
        <f>IF(OR($B40="-",$K42="-",$I42&lt;=0),"",(($S42/$S$53)*AB42))</f>
        <v/>
      </c>
      <c r="AD42" s="105"/>
      <c r="AE42" s="240" t="str">
        <f>IF(OR($B40="-",$K42="-",$I42&lt;=0),"",VLOOKUP($B40,'Data source'!$B$15:$I$99,6,FALSE))</f>
        <v/>
      </c>
      <c r="AF42" s="241" t="str">
        <f>IF(OR($B40="-",$K42="-",$I42&lt;=0),"",(($S42/$S$53)*AE42))</f>
        <v/>
      </c>
      <c r="AG42" s="317"/>
      <c r="AH42" s="240" t="str">
        <f>IF(OR($B40="-",$K42="-",$I42&lt;=0),"",VLOOKUP($B40,'Data source'!$B$15:$I$99,7,FALSE))</f>
        <v/>
      </c>
      <c r="AI42" s="241" t="str">
        <f>IF(OR($B40="-",$K42="-",$I42&lt;=0),"",(($S42/$S$53)*AH42))</f>
        <v/>
      </c>
      <c r="AJ42" s="317"/>
      <c r="AK42" s="240" t="str">
        <f>IF(OR($B40="-",$K42="-",$I42&lt;=0),"",VLOOKUP($B40,'Data source'!$B$15:$I$99,8,FALSE))</f>
        <v/>
      </c>
      <c r="AL42" s="241" t="str">
        <f>IF(OR($B40="-",$K42="-",$I42&lt;=0),"",(($S42/$S$53)*AK42))</f>
        <v/>
      </c>
      <c r="AM42" s="213"/>
      <c r="AN42" s="193"/>
      <c r="AO42" s="213"/>
      <c r="AP42" s="372"/>
      <c r="AQ42" s="370" t="str">
        <f>IF(OR($B40="-",$K42="-",$I42=0),"",VLOOKUP($B40,'Data source'!$B$15:$M$99,12,FALSE))</f>
        <v/>
      </c>
      <c r="AR42" s="237" t="str">
        <f>IF(OR($B40="-",$K42="-",$I42=0),"",IF($AQ42="Dry",$AP40/$R42/10,IF($AQ42="Wet",$AP40/($U42/100)*$R42/10,0)))</f>
        <v/>
      </c>
      <c r="AS42" s="212" t="str">
        <f>IF(OR($B40="-",$K42="-",$I42=0),"",AR42/T42)</f>
        <v/>
      </c>
      <c r="AT42" s="371" t="str">
        <f>IF(OR($B40="-",$K42="-",$I42=0),"",($AR42*$I42)/100)</f>
        <v/>
      </c>
      <c r="AU42" s="193"/>
      <c r="AV42" s="335"/>
      <c r="AW42" s="335"/>
      <c r="AX42" s="341" t="str">
        <f>Z42</f>
        <v/>
      </c>
      <c r="AY42" s="342"/>
      <c r="AZ42" s="343" t="str">
        <f>IF(OR($B40="-",$K42="-",$I42=0),"",VLOOKUP($B40,'Data source'!$B$15:$M$99,9,FALSE))</f>
        <v/>
      </c>
      <c r="BA42" s="344" t="str">
        <f t="shared" si="0"/>
        <v/>
      </c>
      <c r="BB42" s="342"/>
      <c r="BC42" s="343" t="str">
        <f>IF(OR($B40="-",$K42="-",$I42=0),"",VLOOKUP($B40,'Data source'!$B$15:$M$99,10,FALSE))</f>
        <v/>
      </c>
      <c r="BD42" s="344" t="str">
        <f t="shared" si="1"/>
        <v/>
      </c>
      <c r="BE42" s="342"/>
      <c r="BF42" s="343" t="str">
        <f>IF(OR($B40="-",$K42="-",$I42=0),"",VLOOKUP($B40,'Data source'!$B$15:$M$99,11,FALSE))</f>
        <v/>
      </c>
      <c r="BG42" s="345" t="str">
        <f t="shared" si="2"/>
        <v/>
      </c>
      <c r="BH42" s="324"/>
      <c r="BI42" s="353"/>
      <c r="BJ42" s="204"/>
      <c r="BK42" s="7"/>
      <c r="BL42" s="13"/>
      <c r="BM42" s="13"/>
      <c r="BN42" s="7"/>
      <c r="BO42" s="13"/>
      <c r="BP42" s="13"/>
      <c r="BQ42" s="8"/>
      <c r="BR42" s="13"/>
      <c r="BS42" s="13"/>
      <c r="BT42" s="8"/>
      <c r="BU42" s="13"/>
      <c r="BV42" s="13"/>
      <c r="BW42" s="7"/>
      <c r="BX42" s="13"/>
      <c r="BY42" s="13"/>
      <c r="BZ42" s="7"/>
      <c r="CA42" s="7"/>
      <c r="CB42" s="7"/>
    </row>
    <row r="43" spans="1:80" ht="9.75" customHeight="1" thickBot="1">
      <c r="A43" s="194"/>
      <c r="B43" s="475"/>
      <c r="C43" s="105"/>
      <c r="D43" s="121"/>
      <c r="E43" s="453"/>
      <c r="F43" s="75"/>
      <c r="G43" s="67"/>
      <c r="H43" s="561"/>
      <c r="I43" s="120"/>
      <c r="J43" s="485"/>
      <c r="K43" s="84"/>
      <c r="L43" s="72"/>
      <c r="M43" s="194"/>
      <c r="N43" s="277"/>
      <c r="O43" s="217"/>
      <c r="P43" s="390"/>
      <c r="Q43" s="507"/>
      <c r="R43" s="522"/>
      <c r="S43" s="324"/>
      <c r="T43" s="324"/>
      <c r="U43" s="324"/>
      <c r="V43" s="307"/>
      <c r="W43" s="317"/>
      <c r="X43" s="317"/>
      <c r="Y43" s="324"/>
      <c r="Z43" s="324"/>
      <c r="AA43" s="317"/>
      <c r="AB43" s="324"/>
      <c r="AC43" s="324"/>
      <c r="AD43" s="213"/>
      <c r="AE43" s="324"/>
      <c r="AF43" s="324"/>
      <c r="AG43" s="317"/>
      <c r="AH43" s="324"/>
      <c r="AI43" s="324"/>
      <c r="AJ43" s="317"/>
      <c r="AK43" s="324"/>
      <c r="AL43" s="324"/>
      <c r="AM43" s="213"/>
      <c r="AN43" s="193"/>
      <c r="AO43" s="213"/>
      <c r="AP43" s="523"/>
      <c r="AQ43" s="429"/>
      <c r="AR43" s="324"/>
      <c r="AS43" s="392"/>
      <c r="AT43" s="515"/>
      <c r="AU43" s="193"/>
      <c r="AV43" s="335"/>
      <c r="AW43" s="335"/>
      <c r="AX43" s="346"/>
      <c r="AY43" s="332"/>
      <c r="AZ43" s="346"/>
      <c r="BA43" s="346"/>
      <c r="BB43" s="332"/>
      <c r="BC43" s="346"/>
      <c r="BD43" s="346"/>
      <c r="BE43" s="332"/>
      <c r="BF43" s="346"/>
      <c r="BG43" s="346"/>
      <c r="BH43" s="324"/>
      <c r="BI43" s="353"/>
      <c r="BJ43" s="204"/>
      <c r="BK43" s="7"/>
      <c r="BL43" s="13"/>
      <c r="BM43" s="13"/>
      <c r="BN43" s="7"/>
      <c r="BO43" s="13"/>
      <c r="BP43" s="13"/>
      <c r="BQ43" s="8"/>
      <c r="BR43" s="13"/>
      <c r="BS43" s="13"/>
      <c r="BT43" s="8"/>
      <c r="BU43" s="13"/>
      <c r="BV43" s="13"/>
      <c r="BW43" s="7"/>
      <c r="BX43" s="13"/>
      <c r="BY43" s="13"/>
      <c r="BZ43" s="7"/>
      <c r="CA43" s="7"/>
      <c r="CB43" s="7"/>
    </row>
    <row r="44" spans="1:80" ht="20.100000000000001" customHeight="1" thickBot="1">
      <c r="A44" s="194" t="s">
        <v>193</v>
      </c>
      <c r="B44" s="441" t="s">
        <v>0</v>
      </c>
      <c r="C44" s="122"/>
      <c r="D44" s="1919" t="s">
        <v>43</v>
      </c>
      <c r="E44" s="1920"/>
      <c r="F44" s="563"/>
      <c r="G44" s="229">
        <v>1</v>
      </c>
      <c r="H44" s="565"/>
      <c r="I44" s="124"/>
      <c r="J44" s="486"/>
      <c r="K44" s="88"/>
      <c r="L44" s="128">
        <f>IF(OR($D$16="-",$D44="-",$G44=0),0,G44)</f>
        <v>1</v>
      </c>
      <c r="M44" s="194"/>
      <c r="N44" s="277"/>
      <c r="O44" s="218"/>
      <c r="P44" s="390"/>
      <c r="Q44" s="425"/>
      <c r="R44" s="232">
        <f>IF(OR($B44="-",$D44="-",$G44="-"),"",VLOOKUP($D44,'Data source'!$B$127:$C$137,2,FALSE))</f>
        <v>0.85</v>
      </c>
      <c r="S44" s="211">
        <f>IF(OR($B44="-",$D44="-",$G44="-"),"",G44*R44)</f>
        <v>0.85</v>
      </c>
      <c r="T44" s="224">
        <f>IF(OR($B44="-",$D44="-",$G44="-"),"",VLOOKUP($B44,'Data source'!$B$15:$I$99,3,FALSE))</f>
        <v>11</v>
      </c>
      <c r="U44" s="224">
        <f>IF(OR($B44="-",$D44="-",$G44="-"),"",VLOOKUP($B44,'Data source'!$B$15:$I$99,2,FALSE))</f>
        <v>90</v>
      </c>
      <c r="V44" s="233">
        <f>IF(OR($B44="-",$D44="-",$G44="-"),"",S44*T44)</f>
        <v>9.35</v>
      </c>
      <c r="W44" s="317"/>
      <c r="X44" s="317"/>
      <c r="Y44" s="234">
        <f>IF(OR($B44="-",$D44="-",$G44="-"),"",VLOOKUP($B44,'Data source'!$B$15:$I$99,4,FALSE))</f>
        <v>14</v>
      </c>
      <c r="Z44" s="235" t="e">
        <f>IF(OR($B44="-",$D44="-",$G44="-"),"",(($S44/$S$52)*Y44))</f>
        <v>#N/A</v>
      </c>
      <c r="AA44" s="94"/>
      <c r="AB44" s="234">
        <f>IF(OR($B44="-",$D44="-",$G44="-"),"",VLOOKUP($B44,'Data source'!$B$15:$I$99,5,FALSE))</f>
        <v>54</v>
      </c>
      <c r="AC44" s="235" t="e">
        <f>IF(OR($B44="-",$D44="-",$G44="-"),"",(($S44/$S$52)*AB44))</f>
        <v>#N/A</v>
      </c>
      <c r="AD44" s="105"/>
      <c r="AE44" s="234">
        <f>IF(OR($B44="-",$D44="-",$G44="-"),"",VLOOKUP($B44,'Data source'!$B$15:$I$99,6,FALSE))</f>
        <v>0</v>
      </c>
      <c r="AF44" s="235" t="e">
        <f>IF(OR($B44="-",$D44="-",$G44="-"),"",(($S44/$S$52)*AE44))</f>
        <v>#N/A</v>
      </c>
      <c r="AG44" s="317"/>
      <c r="AH44" s="234">
        <f>IF(OR($B44="-",$D44="-",$G44="-"),"",VLOOKUP($B44,'Data source'!$B$15:$I$99,7,FALSE))</f>
        <v>5</v>
      </c>
      <c r="AI44" s="235" t="e">
        <f>IF(OR($B44="-",$D44="-",$G44="-"),"",(($S44/$S$52)*AH44))</f>
        <v>#N/A</v>
      </c>
      <c r="AJ44" s="317"/>
      <c r="AK44" s="234">
        <f>IF(OR($B44="-",$D44="-",$G44="-"),"",VLOOKUP($B44,'Data source'!$B$15:$I$99,8,FALSE))</f>
        <v>8</v>
      </c>
      <c r="AL44" s="235" t="e">
        <f>IF(OR($B44="-",$D44="-",$G44="-"),"",(($S44/$S$52)*AK44))</f>
        <v>#N/A</v>
      </c>
      <c r="AM44" s="213"/>
      <c r="AN44" s="193"/>
      <c r="AO44" s="213"/>
      <c r="AP44" s="226">
        <v>160</v>
      </c>
      <c r="AQ44" s="223" t="str">
        <f>IF(OR($B44="-",$D44="-",$G44="-"),"",VLOOKUP($B44,'Data source'!$B$15:$M$99,12,FALSE))</f>
        <v>Wet</v>
      </c>
      <c r="AR44" s="224">
        <f>IF(OR($B44="-",$D44="-",$G44="-"),"",IF($AQ44="Dry",$AP44/$R44/10,IF($AQ44="Wet",$AP44/($U44/100)*$R44/10,0)))</f>
        <v>15.111111111111111</v>
      </c>
      <c r="AS44" s="211">
        <f>IF(OR($B44="-",$D44="-",$G44="-"),"",AR44/T44)</f>
        <v>1.3737373737373737</v>
      </c>
      <c r="AT44" s="225">
        <f>IF(OR($B44="-",$D44="-",$G44="-"),"",($AR44*$G44)/100)</f>
        <v>0.15111111111111111</v>
      </c>
      <c r="AU44" s="193"/>
      <c r="AV44" s="335"/>
      <c r="AW44" s="335"/>
      <c r="AX44" s="336" t="e">
        <f>Z44</f>
        <v>#N/A</v>
      </c>
      <c r="AY44" s="337"/>
      <c r="AZ44" s="338">
        <f>IF(OR($B44="-",$D44="-",$G44=0),"",VLOOKUP($B44,'Data source'!$B$15:$M$99,9,FALSE))</f>
        <v>1.6</v>
      </c>
      <c r="BA44" s="339" t="e">
        <f t="shared" si="0"/>
        <v>#N/A</v>
      </c>
      <c r="BB44" s="337"/>
      <c r="BC44" s="338">
        <f>IF(OR($B44="-",$D44="-",$G44=0),"",VLOOKUP($B44,'Data source'!$B$15:$M$99,10,FALSE))</f>
        <v>80.8</v>
      </c>
      <c r="BD44" s="339" t="e">
        <f>IF(OR($AX44="",$BC44=""),"",$AX44*$BC44)</f>
        <v>#N/A</v>
      </c>
      <c r="BE44" s="337"/>
      <c r="BF44" s="338">
        <f>IF(OR($B44="-",$D44="-",$G44=0),"",VLOOKUP($B44,'Data source'!$B$15:$M$99,11,FALSE))</f>
        <v>98.4</v>
      </c>
      <c r="BG44" s="340" t="e">
        <f>IF(OR($AX44="",$BF44=""),"",$AX44*$BF44)</f>
        <v>#N/A</v>
      </c>
      <c r="BH44" s="354"/>
      <c r="BI44" s="355"/>
      <c r="BJ44" s="204"/>
      <c r="BK44" s="18"/>
      <c r="BL44" s="14"/>
      <c r="BM44" s="19"/>
      <c r="BN44" s="7"/>
      <c r="BO44" s="14"/>
      <c r="BP44" s="13"/>
      <c r="BQ44" s="8"/>
      <c r="BR44" s="14"/>
      <c r="BS44" s="13"/>
      <c r="BT44" s="13"/>
      <c r="BU44" s="14"/>
      <c r="BV44" s="13"/>
      <c r="BW44" s="13"/>
      <c r="BX44" s="14"/>
      <c r="BY44" s="13"/>
      <c r="BZ44" s="7"/>
      <c r="CA44" s="7"/>
      <c r="CB44" s="7"/>
    </row>
    <row r="45" spans="1:80" s="193" customFormat="1" ht="3" customHeight="1" thickBot="1">
      <c r="A45" s="194"/>
      <c r="B45" s="480"/>
      <c r="C45" s="105"/>
      <c r="D45" s="422"/>
      <c r="E45" s="422"/>
      <c r="F45" s="75"/>
      <c r="G45" s="422"/>
      <c r="H45" s="75"/>
      <c r="I45" s="388"/>
      <c r="J45" s="489"/>
      <c r="K45" s="431"/>
      <c r="L45" s="424"/>
      <c r="M45" s="194"/>
      <c r="N45" s="277"/>
      <c r="O45" s="218"/>
      <c r="P45" s="390"/>
      <c r="Q45" s="425"/>
      <c r="R45" s="426"/>
      <c r="S45" s="392"/>
      <c r="T45" s="324"/>
      <c r="U45" s="324"/>
      <c r="V45" s="311"/>
      <c r="W45" s="317"/>
      <c r="X45" s="317"/>
      <c r="Y45" s="427"/>
      <c r="Z45" s="428"/>
      <c r="AA45" s="317"/>
      <c r="AB45" s="427"/>
      <c r="AC45" s="428"/>
      <c r="AD45" s="213"/>
      <c r="AE45" s="427"/>
      <c r="AF45" s="428"/>
      <c r="AG45" s="317"/>
      <c r="AH45" s="427"/>
      <c r="AI45" s="428"/>
      <c r="AJ45" s="317"/>
      <c r="AK45" s="427"/>
      <c r="AL45" s="428"/>
      <c r="AM45" s="213"/>
      <c r="AO45" s="213"/>
      <c r="AP45" s="524"/>
      <c r="AQ45" s="429"/>
      <c r="AR45" s="324"/>
      <c r="AS45" s="392"/>
      <c r="AT45" s="358"/>
      <c r="AV45" s="335"/>
      <c r="AW45" s="335"/>
      <c r="AX45" s="420"/>
      <c r="AY45" s="332"/>
      <c r="AZ45" s="324"/>
      <c r="BA45" s="307"/>
      <c r="BB45" s="332"/>
      <c r="BC45" s="324"/>
      <c r="BD45" s="307"/>
      <c r="BE45" s="332"/>
      <c r="BF45" s="324"/>
      <c r="BG45" s="421"/>
      <c r="BH45" s="354"/>
      <c r="BI45" s="355"/>
      <c r="BJ45" s="204"/>
      <c r="BK45" s="204"/>
      <c r="BL45" s="320"/>
      <c r="BM45" s="432"/>
      <c r="BO45" s="320"/>
      <c r="BP45" s="353"/>
      <c r="BQ45" s="194"/>
      <c r="BR45" s="320"/>
      <c r="BS45" s="353"/>
      <c r="BT45" s="353"/>
      <c r="BU45" s="320"/>
      <c r="BV45" s="353"/>
      <c r="BW45" s="353"/>
      <c r="BX45" s="320"/>
      <c r="BY45" s="353"/>
    </row>
    <row r="46" spans="1:80" ht="20.100000000000001" customHeight="1" thickBot="1">
      <c r="A46" s="194"/>
      <c r="B46" s="487"/>
      <c r="C46" s="115"/>
      <c r="D46" s="1917" t="s">
        <v>42</v>
      </c>
      <c r="E46" s="1918"/>
      <c r="F46" s="562"/>
      <c r="G46" s="116"/>
      <c r="H46" s="75"/>
      <c r="I46" s="410">
        <v>0</v>
      </c>
      <c r="J46" s="488"/>
      <c r="K46" s="84" t="str">
        <f>IF(D46="-",D44,D46)</f>
        <v>feed pad</v>
      </c>
      <c r="L46" s="128">
        <f>IF(OR($D$16="-",D44="-",$I46=0),0,I46)</f>
        <v>0</v>
      </c>
      <c r="M46" s="194"/>
      <c r="N46" s="277"/>
      <c r="O46" s="218"/>
      <c r="P46" s="390"/>
      <c r="Q46" s="507"/>
      <c r="R46" s="239" t="str">
        <f>IF(OR($B44="-",$K46="-",$I46&lt;=0),"",VLOOKUP($K46,'Data source'!$B$127:$C$137,2,FALSE))</f>
        <v/>
      </c>
      <c r="S46" s="237" t="str">
        <f>IF(OR($B44="-",$K46="-",$I46&lt;=0),"",$I46*$R46)</f>
        <v/>
      </c>
      <c r="T46" s="237" t="str">
        <f>IF(OR($B44="-",$K46="-",$I46&lt;=0),"",VLOOKUP($B44,'Data source'!$B$15:$I$99,3,FALSE))</f>
        <v/>
      </c>
      <c r="U46" s="237" t="str">
        <f>IF(OR($B44="-",$K46="-",$I46&lt;=0),"",VLOOKUP($B44,'Data source'!$B$15:$I$99,2,FALSE))</f>
        <v/>
      </c>
      <c r="V46" s="238" t="str">
        <f>IF(OR($B44="-",$K46="-",$I46&lt;=0),"",$S46*$T46)</f>
        <v/>
      </c>
      <c r="W46" s="317"/>
      <c r="X46" s="317"/>
      <c r="Y46" s="240" t="str">
        <f>IF(OR($B44="-",$K46="-",$I46&lt;=0),"",VLOOKUP($B44,'Data source'!$B$15:$I$99,4,FALSE))</f>
        <v/>
      </c>
      <c r="Z46" s="241" t="str">
        <f>IF(OR($B44="-",$K46="-",$I46&lt;=0),"",(($S46/$S$53)*$Y46))</f>
        <v/>
      </c>
      <c r="AA46" s="94"/>
      <c r="AB46" s="240" t="str">
        <f>IF(OR($B44="-",$K46="-",$I46&lt;=0),"",VLOOKUP($B44,'Data source'!$B$15:$I$99,5,FALSE))</f>
        <v/>
      </c>
      <c r="AC46" s="241" t="str">
        <f>IF(OR($B44="-",$K46="-",$I46&lt;=0),"",(($S46/$S$53)*AB46))</f>
        <v/>
      </c>
      <c r="AD46" s="105"/>
      <c r="AE46" s="240" t="str">
        <f>IF(OR($B44="-",$K46="-",$I46&lt;=0),"",VLOOKUP($B44,'Data source'!$B$15:$I$99,6,FALSE))</f>
        <v/>
      </c>
      <c r="AF46" s="241" t="str">
        <f>IF(OR($B44="-",$K46="-",$I46&lt;=0),"",(($S46/$S$53)*AE46))</f>
        <v/>
      </c>
      <c r="AG46" s="317"/>
      <c r="AH46" s="240" t="str">
        <f>IF(OR($B44="-",$K46="-",$I46&lt;=0),"",VLOOKUP($B44,'Data source'!$B$15:$I$99,7,FALSE))</f>
        <v/>
      </c>
      <c r="AI46" s="241" t="str">
        <f>IF(OR($B44="-",$K46="-",$I46&lt;=0),"",(($S46/$S$53)*AH46))</f>
        <v/>
      </c>
      <c r="AJ46" s="317"/>
      <c r="AK46" s="240" t="str">
        <f>IF(OR($B44="-",$K46="-",$I46&lt;=0),"",VLOOKUP($B44,'Data source'!$B$15:$I$99,8,FALSE))</f>
        <v/>
      </c>
      <c r="AL46" s="241" t="str">
        <f>IF(OR($B44="-",$K46="-",$I46&lt;=0),"",(($S46/$S$53)*AK46))</f>
        <v/>
      </c>
      <c r="AM46" s="213"/>
      <c r="AN46" s="193"/>
      <c r="AO46" s="213"/>
      <c r="AP46" s="372"/>
      <c r="AQ46" s="370" t="str">
        <f>IF(OR($B44="-",$K46="-",$I46=0),"",VLOOKUP($B44,'Data source'!$B$15:$M$99,12,FALSE))</f>
        <v/>
      </c>
      <c r="AR46" s="237" t="str">
        <f>IF(OR($B44="-",$K46="-",$I46=0),"",IF($AQ46="Dry",$AP44/$R46/10,IF($AQ46="Wet",$AP44/($U46/100)*$R46/10,0)))</f>
        <v/>
      </c>
      <c r="AS46" s="212" t="str">
        <f>IF(OR($B44="-",$K46="-",$I46=0),"",AR46/T46)</f>
        <v/>
      </c>
      <c r="AT46" s="371" t="str">
        <f>IF(OR($B44="-",$K46="-",$I46=0),"",($AR46*$I46)/100)</f>
        <v/>
      </c>
      <c r="AU46" s="193"/>
      <c r="AV46" s="335"/>
      <c r="AW46" s="335"/>
      <c r="AX46" s="341" t="str">
        <f>Z46</f>
        <v/>
      </c>
      <c r="AY46" s="342"/>
      <c r="AZ46" s="343" t="str">
        <f>IF(OR($B44="-",$K46="-",$I46=0),"",VLOOKUP($B44,'Data source'!$B$15:$M$99,9,FALSE))</f>
        <v/>
      </c>
      <c r="BA46" s="344" t="str">
        <f t="shared" si="0"/>
        <v/>
      </c>
      <c r="BB46" s="342"/>
      <c r="BC46" s="343" t="str">
        <f>IF(OR($B44="-",$K46="-",$I46=0),"",VLOOKUP($B44,'Data source'!$B$15:$M$99,10,FALSE))</f>
        <v/>
      </c>
      <c r="BD46" s="344" t="str">
        <f>IF(OR($AX46="",$BC46=""),"",$AX46*$BC46)</f>
        <v/>
      </c>
      <c r="BE46" s="342"/>
      <c r="BF46" s="343" t="str">
        <f>IF(OR($B44="-",$K46="-",$I46=0),"",VLOOKUP($B44,'Data source'!$B$15:$M$99,11,FALSE))</f>
        <v/>
      </c>
      <c r="BG46" s="345" t="str">
        <f>IF(OR($AX46="",$BF46=""),"",$AX46*$BF46)</f>
        <v/>
      </c>
      <c r="BH46" s="354"/>
      <c r="BI46" s="355"/>
      <c r="BJ46" s="204"/>
      <c r="BK46" s="18"/>
      <c r="BL46" s="14"/>
      <c r="BM46" s="19"/>
      <c r="BN46" s="7"/>
      <c r="BO46" s="14"/>
      <c r="BP46" s="13"/>
      <c r="BQ46" s="8"/>
      <c r="BR46" s="14"/>
      <c r="BS46" s="13"/>
      <c r="BT46" s="13"/>
      <c r="BU46" s="14"/>
      <c r="BV46" s="13"/>
      <c r="BW46" s="13"/>
      <c r="BX46" s="14"/>
      <c r="BY46" s="13"/>
      <c r="BZ46" s="7"/>
      <c r="CA46" s="7"/>
      <c r="CB46" s="7"/>
    </row>
    <row r="47" spans="1:80" ht="9.75" customHeight="1" thickBot="1">
      <c r="A47" s="194"/>
      <c r="B47" s="244"/>
      <c r="C47" s="94"/>
      <c r="D47" s="121"/>
      <c r="E47" s="121"/>
      <c r="F47" s="75"/>
      <c r="G47" s="67"/>
      <c r="H47" s="561"/>
      <c r="I47" s="94"/>
      <c r="J47" s="489"/>
      <c r="K47" s="84"/>
      <c r="L47" s="78"/>
      <c r="M47" s="194"/>
      <c r="N47" s="277"/>
      <c r="O47" s="218"/>
      <c r="P47" s="390"/>
      <c r="Q47" s="507"/>
      <c r="R47" s="522"/>
      <c r="S47" s="324"/>
      <c r="T47" s="324"/>
      <c r="U47" s="324"/>
      <c r="V47" s="307"/>
      <c r="W47" s="317"/>
      <c r="X47" s="317"/>
      <c r="Y47" s="324"/>
      <c r="Z47" s="324"/>
      <c r="AA47" s="317"/>
      <c r="AB47" s="324"/>
      <c r="AC47" s="324"/>
      <c r="AD47" s="213"/>
      <c r="AE47" s="324"/>
      <c r="AF47" s="324"/>
      <c r="AG47" s="317"/>
      <c r="AH47" s="324"/>
      <c r="AI47" s="324"/>
      <c r="AJ47" s="317"/>
      <c r="AK47" s="324"/>
      <c r="AL47" s="324"/>
      <c r="AM47" s="213"/>
      <c r="AN47" s="193"/>
      <c r="AO47" s="213"/>
      <c r="AP47" s="523"/>
      <c r="AQ47" s="429"/>
      <c r="AR47" s="324"/>
      <c r="AS47" s="392"/>
      <c r="AT47" s="515"/>
      <c r="AU47" s="193"/>
      <c r="AV47" s="335"/>
      <c r="AW47" s="335"/>
      <c r="AX47" s="346"/>
      <c r="AY47" s="332"/>
      <c r="AZ47" s="347"/>
      <c r="BA47" s="348"/>
      <c r="BB47" s="332"/>
      <c r="BC47" s="347"/>
      <c r="BD47" s="307" t="str">
        <f>IF(OR($AX47="",$BC47=""),"",$AX47*$BC47)</f>
        <v/>
      </c>
      <c r="BE47" s="332"/>
      <c r="BF47" s="356"/>
      <c r="BG47" s="307" t="str">
        <f>IF(OR($AX47="",$BF47=""),"",$AX47*$BF47)</f>
        <v/>
      </c>
      <c r="BH47" s="354"/>
      <c r="BI47" s="355"/>
      <c r="BJ47" s="204"/>
      <c r="BK47" s="18"/>
      <c r="BL47" s="14"/>
      <c r="BM47" s="19"/>
      <c r="BN47" s="7"/>
      <c r="BO47" s="14"/>
      <c r="BP47" s="13"/>
      <c r="BQ47" s="8"/>
      <c r="BR47" s="14"/>
      <c r="BS47" s="13"/>
      <c r="BT47" s="13"/>
      <c r="BU47" s="14"/>
      <c r="BV47" s="13"/>
      <c r="BW47" s="13"/>
      <c r="BX47" s="14"/>
      <c r="BY47" s="13"/>
      <c r="BZ47" s="7"/>
      <c r="CA47" s="7"/>
      <c r="CB47" s="7"/>
    </row>
    <row r="48" spans="1:80" ht="20.100000000000001" customHeight="1" thickBot="1">
      <c r="A48" s="194" t="s">
        <v>134</v>
      </c>
      <c r="B48" s="441" t="s">
        <v>22</v>
      </c>
      <c r="C48" s="122"/>
      <c r="D48" s="1919" t="s">
        <v>43</v>
      </c>
      <c r="E48" s="1920"/>
      <c r="F48" s="563"/>
      <c r="G48" s="229">
        <v>4</v>
      </c>
      <c r="H48" s="75"/>
      <c r="I48" s="124"/>
      <c r="J48" s="479"/>
      <c r="K48" s="86"/>
      <c r="L48" s="128">
        <f>IF(OR($D$16="-",$D48="-",$G48=0),0,G48)</f>
        <v>4</v>
      </c>
      <c r="M48" s="194"/>
      <c r="N48" s="277"/>
      <c r="O48" s="216"/>
      <c r="P48" s="390"/>
      <c r="Q48" s="425"/>
      <c r="R48" s="232">
        <f>IF(OR($B48="-",$D48="-",$G48="-"),"",VLOOKUP($D48,'Data source'!$B$127:$C$137,2,FALSE))</f>
        <v>0.85</v>
      </c>
      <c r="S48" s="211">
        <f>IF(OR($B48="-",$D48="-",$G48="-"),"",G48*R48)</f>
        <v>3.4</v>
      </c>
      <c r="T48" s="224">
        <f>IF(OR($B48="-",$D48="-",$G48="-"),"",VLOOKUP($B48,'Data source'!$B$15:$I$99,3,FALSE))</f>
        <v>12.9</v>
      </c>
      <c r="U48" s="224">
        <f>IF(OR($B48="-",$D48="-",$G48="-"),"",VLOOKUP($B48,'Data source'!$B$15:$I$99,2,FALSE))</f>
        <v>90</v>
      </c>
      <c r="V48" s="233">
        <f>IF(OR($B48="-",$D48="-",$G48=0),"",S48*T48)</f>
        <v>43.86</v>
      </c>
      <c r="W48" s="317"/>
      <c r="X48" s="317"/>
      <c r="Y48" s="234">
        <f>IF(OR($B48="-",$D48="-",$G48="-"),"",VLOOKUP($B48,'Data source'!$B$15:$I$99,4,FALSE))</f>
        <v>50</v>
      </c>
      <c r="Z48" s="235" t="e">
        <f>IF(OR($B48="-",$D48="-",$G48="-"),"",(($S48/$S$52)*Y48))</f>
        <v>#N/A</v>
      </c>
      <c r="AA48" s="94"/>
      <c r="AB48" s="234">
        <f>IF(OR($B48="-",$D48="-",$G48="-"),"",VLOOKUP($B48,'Data source'!$B$15:$I$99,5,FALSE))</f>
        <v>14</v>
      </c>
      <c r="AC48" s="235" t="e">
        <f>IF(OR($B48="-",$D48="-",$G48="-"),"",(($S48/$S$52)*AB48))</f>
        <v>#N/A</v>
      </c>
      <c r="AD48" s="105"/>
      <c r="AE48" s="234">
        <f>IF(OR($B48="-",$D48="-",$G48="-"),"",VLOOKUP($B48,'Data source'!$B$15:$I$99,6,FALSE))</f>
        <v>27</v>
      </c>
      <c r="AF48" s="235" t="e">
        <f>IF(OR($B48="-",$D48="-",$G48="-"),"",(($S48/$S$52)*AE48))</f>
        <v>#N/A</v>
      </c>
      <c r="AG48" s="317"/>
      <c r="AH48" s="234">
        <f>IF(OR($B48="-",$D48="-",$G48="-"),"",VLOOKUP($B48,'Data source'!$B$15:$I$99,7,FALSE))</f>
        <v>90</v>
      </c>
      <c r="AI48" s="235" t="e">
        <f>IF(OR($B48="-",$D48="-",$G48="-"),"",(($S48/$S$52)*AH48))</f>
        <v>#N/A</v>
      </c>
      <c r="AJ48" s="317"/>
      <c r="AK48" s="234">
        <f>IF(OR($B48="-",$D48="-",$G48="-"),"",VLOOKUP($B48,'Data source'!$B$15:$I$99,8,FALSE))</f>
        <v>1.4</v>
      </c>
      <c r="AL48" s="235" t="e">
        <f>IF(OR($B48="-",$D48="-",$G48="-"),"",(($S48/$S$52)*AK48))</f>
        <v>#N/A</v>
      </c>
      <c r="AM48" s="213"/>
      <c r="AN48" s="193"/>
      <c r="AO48" s="213"/>
      <c r="AP48" s="226">
        <v>70</v>
      </c>
      <c r="AQ48" s="223" t="str">
        <f>IF(OR($B48="-",$D48="-",$G48="-"),"",VLOOKUP($B48,'Data source'!$B$15:$M$99,12,FALSE))</f>
        <v>Wet</v>
      </c>
      <c r="AR48" s="224">
        <f>IF(OR($B48="-",$D48="-",$G48="-"),"",IF($AQ48="Dry",$AP48/$R48/10,IF($AQ48="Wet",$AP48/($U48/100)*$R48/10,0)))</f>
        <v>6.6111111111111098</v>
      </c>
      <c r="AS48" s="211">
        <f>IF(OR($B48="-",$D48="-",$G48="-"),"",AR48/T48)</f>
        <v>0.51248923341946584</v>
      </c>
      <c r="AT48" s="225">
        <f>IF(OR($B48="-",$D48="-",$G48="-"),"",($AR48*$G48)/100)</f>
        <v>0.26444444444444437</v>
      </c>
      <c r="AU48" s="193"/>
      <c r="AV48" s="335"/>
      <c r="AW48" s="335"/>
      <c r="AX48" s="336" t="e">
        <f>Z48</f>
        <v>#N/A</v>
      </c>
      <c r="AY48" s="337"/>
      <c r="AZ48" s="338">
        <f>IF(OR($B48="-",$D48="-",$G48=0),"",VLOOKUP($B48,'Data source'!$B$15:$M$99,9,FALSE))</f>
        <v>35</v>
      </c>
      <c r="BA48" s="339" t="e">
        <f>IF(OR(AX48="",AZ48=""),"",AX48*AZ48)</f>
        <v>#N/A</v>
      </c>
      <c r="BB48" s="337"/>
      <c r="BC48" s="338">
        <f>IF(OR($B48="-",$D48="-",$G48=0),"",VLOOKUP($B48,'Data source'!$B$15:$M$99,10,FALSE))</f>
        <v>20</v>
      </c>
      <c r="BD48" s="339" t="e">
        <f>IF(OR($AX48="",$BC48=""),"",$AX48*$BC48)</f>
        <v>#N/A</v>
      </c>
      <c r="BE48" s="337"/>
      <c r="BF48" s="338">
        <f>IF(OR($B48="-",$D48="-",$G48=0),"",VLOOKUP($B48,'Data source'!$B$15:$M$99,11,FALSE))</f>
        <v>65</v>
      </c>
      <c r="BG48" s="340" t="e">
        <f>IF(OR($AX48="",$BF48=""),"",$AX48*$BF48)</f>
        <v>#N/A</v>
      </c>
      <c r="BH48" s="354"/>
      <c r="BI48" s="355"/>
      <c r="BJ48" s="204"/>
      <c r="BK48" s="18"/>
      <c r="BL48" s="14"/>
      <c r="BM48" s="19"/>
      <c r="BN48" s="7"/>
      <c r="BO48" s="14"/>
      <c r="BP48" s="13"/>
      <c r="BQ48" s="13"/>
      <c r="BR48" s="14"/>
      <c r="BS48" s="13"/>
      <c r="BT48" s="13"/>
      <c r="BU48" s="14"/>
      <c r="BV48" s="13"/>
      <c r="BW48" s="13"/>
      <c r="BX48" s="14"/>
      <c r="BY48" s="13"/>
      <c r="BZ48" s="7"/>
      <c r="CA48" s="7"/>
      <c r="CB48" s="7"/>
    </row>
    <row r="49" spans="1:87" s="193" customFormat="1" ht="3" customHeight="1" thickBot="1">
      <c r="A49" s="194"/>
      <c r="B49" s="480"/>
      <c r="C49" s="105"/>
      <c r="D49" s="422"/>
      <c r="E49" s="422"/>
      <c r="F49" s="75"/>
      <c r="G49" s="422"/>
      <c r="H49" s="75"/>
      <c r="I49" s="388"/>
      <c r="J49" s="482"/>
      <c r="K49" s="423"/>
      <c r="L49" s="424"/>
      <c r="M49" s="194"/>
      <c r="N49" s="277"/>
      <c r="O49" s="216"/>
      <c r="P49" s="390"/>
      <c r="Q49" s="425"/>
      <c r="R49" s="426"/>
      <c r="S49" s="392"/>
      <c r="T49" s="324"/>
      <c r="U49" s="324"/>
      <c r="V49" s="311"/>
      <c r="W49" s="317"/>
      <c r="X49" s="317"/>
      <c r="Y49" s="427"/>
      <c r="Z49" s="428"/>
      <c r="AA49" s="317"/>
      <c r="AB49" s="427"/>
      <c r="AC49" s="428"/>
      <c r="AD49" s="213"/>
      <c r="AE49" s="427"/>
      <c r="AF49" s="428"/>
      <c r="AG49" s="317"/>
      <c r="AH49" s="427"/>
      <c r="AI49" s="428"/>
      <c r="AJ49" s="317"/>
      <c r="AK49" s="427"/>
      <c r="AL49" s="428"/>
      <c r="AM49" s="213"/>
      <c r="AO49" s="213"/>
      <c r="AP49" s="524"/>
      <c r="AQ49" s="429"/>
      <c r="AR49" s="324"/>
      <c r="AS49" s="392"/>
      <c r="AT49" s="358"/>
      <c r="AV49" s="335"/>
      <c r="AW49" s="335"/>
      <c r="AX49" s="420"/>
      <c r="AY49" s="332"/>
      <c r="AZ49" s="324"/>
      <c r="BA49" s="307"/>
      <c r="BB49" s="332"/>
      <c r="BC49" s="324"/>
      <c r="BD49" s="307"/>
      <c r="BE49" s="332"/>
      <c r="BF49" s="324"/>
      <c r="BG49" s="421"/>
      <c r="BH49" s="354"/>
      <c r="BI49" s="355"/>
      <c r="BJ49" s="204"/>
      <c r="BK49" s="204"/>
      <c r="BL49" s="320"/>
      <c r="BM49" s="432"/>
      <c r="BO49" s="320"/>
      <c r="BP49" s="353"/>
      <c r="BQ49" s="353"/>
      <c r="BR49" s="320"/>
      <c r="BS49" s="353"/>
      <c r="BT49" s="353"/>
      <c r="BU49" s="320"/>
      <c r="BV49" s="353"/>
      <c r="BW49" s="353"/>
      <c r="BX49" s="320"/>
      <c r="BY49" s="353"/>
    </row>
    <row r="50" spans="1:87" ht="20.100000000000001" customHeight="1" thickBot="1">
      <c r="A50" s="194"/>
      <c r="B50" s="487"/>
      <c r="C50" s="115"/>
      <c r="D50" s="1917" t="s">
        <v>156</v>
      </c>
      <c r="E50" s="1918"/>
      <c r="F50" s="562"/>
      <c r="G50" s="118"/>
      <c r="H50" s="566"/>
      <c r="I50" s="410">
        <v>1</v>
      </c>
      <c r="J50" s="474"/>
      <c r="K50" s="84" t="str">
        <f>IF(D50="-",D48,D50)</f>
        <v>in trailer</v>
      </c>
      <c r="L50" s="128">
        <f>IF(OR($D$16="-",D48="-",$I50=0),0,I50)</f>
        <v>1</v>
      </c>
      <c r="M50" s="194"/>
      <c r="N50" s="277"/>
      <c r="O50" s="194"/>
      <c r="P50" s="508"/>
      <c r="Q50" s="507"/>
      <c r="R50" s="239">
        <f>IF(OR($B48="-",$K50="-",$I50&lt;=0),"",VLOOKUP($K50,'Data source'!$B$127:$C$137,2,FALSE))</f>
        <v>0.85</v>
      </c>
      <c r="S50" s="237">
        <f>IF(OR($B48="-",$K50="-",$I50&lt;=0),"",$I50*$R50)</f>
        <v>0.85</v>
      </c>
      <c r="T50" s="237">
        <f>IF(OR($B48="-",$K50="-",$I50&lt;=0),"",VLOOKUP($B48,'Data source'!$B$15:$I$99,3,FALSE))</f>
        <v>12.9</v>
      </c>
      <c r="U50" s="237">
        <f>IF(OR($B48="-",$K50="-",$I50&lt;=0),"",VLOOKUP($B48,'Data source'!$B$15:$I$99,2,FALSE))</f>
        <v>90</v>
      </c>
      <c r="V50" s="238">
        <f>IF(OR($B48="-",$K50="-",$I50&lt;=0),"",$S50*$T50)</f>
        <v>10.965</v>
      </c>
      <c r="W50" s="317"/>
      <c r="X50" s="317"/>
      <c r="Y50" s="240">
        <f>IF(OR($B48="-",$K50="-",$I50&lt;=0),"",VLOOKUP($B48,'Data source'!$B$15:$I$99,4,FALSE))</f>
        <v>50</v>
      </c>
      <c r="Z50" s="241" t="e">
        <f>IF(OR($B48="-",$K50="-",$I50&lt;=0),"",(($S50/$S$53)*$Y50))</f>
        <v>#N/A</v>
      </c>
      <c r="AA50" s="94"/>
      <c r="AB50" s="240">
        <f>IF(OR($B48="-",$K50="-",$I50&lt;=0),"",VLOOKUP($B48,'Data source'!$B$15:$I$99,5,FALSE))</f>
        <v>14</v>
      </c>
      <c r="AC50" s="241" t="e">
        <f>IF(OR($B48="-",$K50="-",$I50&lt;=0),"",(($S50/$S$53)*AB50))</f>
        <v>#N/A</v>
      </c>
      <c r="AD50" s="105"/>
      <c r="AE50" s="240">
        <f>IF(OR($B48="-",$K50="-",$I50&lt;=0),"",VLOOKUP($B48,'Data source'!$B$15:$I$99,6,FALSE))</f>
        <v>27</v>
      </c>
      <c r="AF50" s="241" t="e">
        <f>IF(OR($B48="-",$K50="-",$I50&lt;=0),"",(($S50/$S$53)*AE50))</f>
        <v>#N/A</v>
      </c>
      <c r="AG50" s="317"/>
      <c r="AH50" s="240">
        <f>IF(OR($B48="-",$K50="-",$I50&lt;=0),"",VLOOKUP($B48,'Data source'!$B$15:$I$99,7,FALSE))</f>
        <v>90</v>
      </c>
      <c r="AI50" s="241" t="e">
        <f>IF(OR($B48="-",$K50="-",$I50&lt;=0),"",(($S50/$S$53)*AH50))</f>
        <v>#N/A</v>
      </c>
      <c r="AJ50" s="317"/>
      <c r="AK50" s="240">
        <f>IF(OR($B48="-",$K50="-",$I50&lt;=0),"",VLOOKUP($B48,'Data source'!$B$15:$I$99,8,FALSE))</f>
        <v>1.4</v>
      </c>
      <c r="AL50" s="241" t="e">
        <f>IF(OR($B48="-",$K50="-",$I50&lt;=0),"",(($S50/$S$53)*AK50))</f>
        <v>#N/A</v>
      </c>
      <c r="AM50" s="213"/>
      <c r="AN50" s="193"/>
      <c r="AO50" s="213"/>
      <c r="AP50" s="525"/>
      <c r="AQ50" s="370" t="str">
        <f>IF(OR($B48="-",$K50="-",$I50=0),"",VLOOKUP($B48,'Data source'!$B$15:$M$99,12,FALSE))</f>
        <v>Wet</v>
      </c>
      <c r="AR50" s="237">
        <f>IF(OR($B48="-",$K50="-",$I50=0),"",IF($AQ50="Dry",$AP48/$R50/10,IF($AQ50="Wet",$AP48/($U50/100)*$R50/10,0)))</f>
        <v>6.6111111111111098</v>
      </c>
      <c r="AS50" s="212">
        <f>IF(OR($B48="-",$K50="-",$I50=0),"",AR50/T50)</f>
        <v>0.51248923341946584</v>
      </c>
      <c r="AT50" s="371">
        <f>IF(OR($B48="-",$K50="-",$I50=0),"",($AR50*$I50)/100)</f>
        <v>6.6111111111111093E-2</v>
      </c>
      <c r="AU50" s="193"/>
      <c r="AV50" s="317"/>
      <c r="AW50" s="317"/>
      <c r="AX50" s="341" t="e">
        <f>Z50</f>
        <v>#N/A</v>
      </c>
      <c r="AY50" s="342"/>
      <c r="AZ50" s="343">
        <f>IF(OR($B48="-",$K50="-",$I50=0),"",VLOOKUP($B48,'Data source'!$B$15:$M$99,9,FALSE))</f>
        <v>35</v>
      </c>
      <c r="BA50" s="343"/>
      <c r="BB50" s="342"/>
      <c r="BC50" s="343">
        <f>IF(OR($B48="-",$K50="-",$I50=0),"",VLOOKUP($B48,'Data source'!$B$15:$M$99,10,FALSE))</f>
        <v>20</v>
      </c>
      <c r="BD50" s="343"/>
      <c r="BE50" s="342"/>
      <c r="BF50" s="343">
        <f>IF(OR($B48="-",$K50="-",$I50=0),"",VLOOKUP($B48,'Data source'!$B$15:$M$99,11,FALSE))</f>
        <v>65</v>
      </c>
      <c r="BG50" s="357"/>
      <c r="BH50" s="317"/>
      <c r="BI50" s="193"/>
      <c r="BJ50" s="193"/>
    </row>
    <row r="51" spans="1:87" ht="16.5" customHeight="1" thickBot="1">
      <c r="A51" s="194"/>
      <c r="B51" s="490"/>
      <c r="C51" s="68"/>
      <c r="D51" s="44"/>
      <c r="E51" s="44"/>
      <c r="F51" s="75"/>
      <c r="G51" s="44"/>
      <c r="H51" s="75"/>
      <c r="I51" s="44"/>
      <c r="J51" s="491"/>
      <c r="K51" s="89"/>
      <c r="L51" s="73"/>
      <c r="M51" s="194"/>
      <c r="N51" s="277"/>
      <c r="O51" s="318"/>
      <c r="P51" s="390"/>
      <c r="Q51" s="317"/>
      <c r="R51" s="509"/>
      <c r="S51" s="333"/>
      <c r="T51" s="333"/>
      <c r="U51" s="333"/>
      <c r="V51" s="317"/>
      <c r="W51" s="317"/>
      <c r="X51" s="510"/>
      <c r="Y51" s="511"/>
      <c r="Z51" s="333"/>
      <c r="AA51" s="317"/>
      <c r="AB51" s="317"/>
      <c r="AC51" s="317"/>
      <c r="AD51" s="324"/>
      <c r="AE51" s="317"/>
      <c r="AF51" s="317"/>
      <c r="AG51" s="317"/>
      <c r="AH51" s="317"/>
      <c r="AI51" s="317"/>
      <c r="AJ51" s="317"/>
      <c r="AK51" s="317"/>
      <c r="AL51" s="317"/>
      <c r="AM51" s="213"/>
      <c r="AN51" s="193"/>
      <c r="AO51" s="512"/>
      <c r="AP51" s="513"/>
      <c r="AQ51" s="513"/>
      <c r="AR51" s="514"/>
      <c r="AS51" s="515"/>
      <c r="AT51" s="358"/>
      <c r="AU51" s="193"/>
      <c r="AV51" s="335"/>
      <c r="AW51" s="335"/>
      <c r="AX51" s="359" t="s">
        <v>210</v>
      </c>
      <c r="AY51" s="335"/>
      <c r="AZ51" s="317"/>
      <c r="BA51" s="317"/>
      <c r="BB51" s="317"/>
      <c r="BC51" s="213"/>
      <c r="BD51" s="213"/>
      <c r="BE51" s="332"/>
      <c r="BF51" s="324"/>
      <c r="BG51" s="324"/>
      <c r="BH51" s="324"/>
      <c r="BI51" s="353"/>
      <c r="BJ51" s="204"/>
      <c r="BK51" s="18"/>
      <c r="BL51" s="13"/>
      <c r="BM51" s="13"/>
      <c r="BN51" s="7"/>
      <c r="BO51" s="13"/>
      <c r="BP51" s="13"/>
      <c r="BQ51" s="13"/>
      <c r="BR51" s="13"/>
      <c r="BS51" s="13"/>
      <c r="BT51" s="13"/>
      <c r="BU51" s="13"/>
      <c r="BV51" s="13"/>
      <c r="BW51" s="13"/>
      <c r="BX51" s="13"/>
      <c r="BY51" s="13"/>
      <c r="BZ51" s="7"/>
      <c r="CA51" s="7"/>
      <c r="CB51" s="7"/>
    </row>
    <row r="52" spans="1:87" ht="20.100000000000001" customHeight="1">
      <c r="A52" s="194"/>
      <c r="B52" s="492"/>
      <c r="C52" s="119"/>
      <c r="D52" s="68"/>
      <c r="E52" s="68"/>
      <c r="F52" s="75"/>
      <c r="G52" s="450" t="s">
        <v>201</v>
      </c>
      <c r="H52" s="75"/>
      <c r="I52" s="503" t="s">
        <v>202</v>
      </c>
      <c r="J52" s="493"/>
      <c r="K52" s="90"/>
      <c r="L52" s="74"/>
      <c r="M52" s="194"/>
      <c r="N52" s="277"/>
      <c r="O52" s="319"/>
      <c r="P52" s="508"/>
      <c r="Q52" s="402" t="s">
        <v>201</v>
      </c>
      <c r="R52" s="403"/>
      <c r="S52" s="403" t="e">
        <f>SUM(S24,S28,S32,S36,S40,S44,S48)</f>
        <v>#N/A</v>
      </c>
      <c r="T52" s="528"/>
      <c r="U52" s="529"/>
      <c r="V52" s="530" t="e">
        <f>SUM(V24,V28,V32,V36,V40,V44,V48)</f>
        <v>#N/A</v>
      </c>
      <c r="W52" s="531"/>
      <c r="X52" s="404"/>
      <c r="Y52" s="405"/>
      <c r="Z52" s="530" t="e">
        <f>SUM(Z24,Z28,Z32,Z36,Z40,Z44,Z48)</f>
        <v>#N/A</v>
      </c>
      <c r="AA52" s="529"/>
      <c r="AB52" s="529"/>
      <c r="AC52" s="530" t="e">
        <f>SUM(AC24,AC28,AC32,AC36,AC40,AC44,AC48)</f>
        <v>#N/A</v>
      </c>
      <c r="AD52" s="528"/>
      <c r="AE52" s="406"/>
      <c r="AF52" s="530" t="e">
        <f>SUM(AF24,AF28,AF32,AF36,AF40,AF44,AF48)</f>
        <v>#N/A</v>
      </c>
      <c r="AG52" s="531"/>
      <c r="AH52" s="529"/>
      <c r="AI52" s="530" t="e">
        <f>SUM(AI24,AI28,AI32,AI36,AI40,AI44,AI48)</f>
        <v>#N/A</v>
      </c>
      <c r="AJ52" s="403"/>
      <c r="AK52" s="529"/>
      <c r="AL52" s="530" t="e">
        <f>SUM(AL24,AL28,AL32,AL36,AL40,AL44,AL48)</f>
        <v>#N/A</v>
      </c>
      <c r="AM52" s="531"/>
      <c r="AN52" s="531"/>
      <c r="AO52" s="532"/>
      <c r="AP52" s="533" t="s">
        <v>171</v>
      </c>
      <c r="AQ52" s="534" t="e">
        <f>$AT$52*$G$8</f>
        <v>#N/A</v>
      </c>
      <c r="AR52" s="535"/>
      <c r="AS52" s="536" t="s">
        <v>113</v>
      </c>
      <c r="AT52" s="537" t="e">
        <f>SUM(AT24,AT28,AT32,AT36,AT40,AT44,AT48)</f>
        <v>#N/A</v>
      </c>
      <c r="AU52" s="193"/>
      <c r="AV52" s="317"/>
      <c r="AW52" s="360"/>
      <c r="AX52" s="361" t="e">
        <f>$Z$52</f>
        <v>#N/A</v>
      </c>
      <c r="AY52" s="362"/>
      <c r="AZ52" s="363" t="e">
        <f>SUM(BA24,BA28,BA32,BA36,BA40,BA44,BA48)/$AX$52</f>
        <v>#N/A</v>
      </c>
      <c r="BA52" s="360"/>
      <c r="BB52" s="360"/>
      <c r="BC52" s="363" t="e">
        <f>SUM(BD24,BD28,BD32,BD36,BD40,BD44,BD48)/$AX$52</f>
        <v>#N/A</v>
      </c>
      <c r="BD52" s="364"/>
      <c r="BE52" s="364"/>
      <c r="BF52" s="363" t="e">
        <f>SUM(BG24,BG28,BG32,BG36,BG40,BG44,BG48)/$AX$52</f>
        <v>#N/A</v>
      </c>
      <c r="BG52" s="365"/>
      <c r="BH52" s="365"/>
      <c r="BI52" s="353"/>
      <c r="BJ52" s="204"/>
      <c r="BK52" s="18"/>
      <c r="BL52" s="13"/>
      <c r="BM52" s="13"/>
      <c r="BN52" s="7"/>
      <c r="BO52" s="13"/>
      <c r="BP52" s="13"/>
      <c r="BQ52" s="13"/>
      <c r="BR52" s="13"/>
      <c r="BS52" s="13"/>
      <c r="BT52" s="13"/>
      <c r="BU52" s="13"/>
      <c r="BV52" s="13"/>
      <c r="BW52" s="13"/>
      <c r="BX52" s="13"/>
      <c r="BY52" s="13"/>
      <c r="BZ52" s="7"/>
      <c r="CA52" s="7"/>
      <c r="CB52" s="7"/>
    </row>
    <row r="53" spans="1:87" ht="20.100000000000001" customHeight="1">
      <c r="A53" s="194"/>
      <c r="B53" s="494"/>
      <c r="C53" s="495"/>
      <c r="D53" s="496" t="s">
        <v>49</v>
      </c>
      <c r="E53" s="497"/>
      <c r="F53" s="554"/>
      <c r="G53" s="498">
        <f>SUM(L24,L28,L32,L36,L40,L44,L48)</f>
        <v>22</v>
      </c>
      <c r="H53" s="554"/>
      <c r="I53" s="499">
        <f>SUM(L26,L30,L34,L38,L42,L46,L50)</f>
        <v>19</v>
      </c>
      <c r="J53" s="500"/>
      <c r="K53" s="91"/>
      <c r="L53" s="74"/>
      <c r="M53" s="194"/>
      <c r="N53" s="277"/>
      <c r="O53" s="319"/>
      <c r="P53" s="463"/>
      <c r="Q53" s="538" t="s">
        <v>202</v>
      </c>
      <c r="R53" s="539"/>
      <c r="S53" s="539" t="e">
        <f>SUM(S26,S30,S34,S38,S42,S46,S50)</f>
        <v>#N/A</v>
      </c>
      <c r="T53" s="539"/>
      <c r="U53" s="539"/>
      <c r="V53" s="540" t="e">
        <f>SUM(V26,V30,V34,V38,V42,V46,V50)</f>
        <v>#N/A</v>
      </c>
      <c r="W53" s="541"/>
      <c r="X53" s="540"/>
      <c r="Y53" s="542"/>
      <c r="Z53" s="539" t="e">
        <f>SUM(Z26,Z30,Z34,Z38,Z42,Z46,Z50)</f>
        <v>#N/A</v>
      </c>
      <c r="AA53" s="542"/>
      <c r="AB53" s="542"/>
      <c r="AC53" s="539" t="e">
        <f>SUM(AC26,AC30,AC34,AC38,AC42,AC46,AC50)</f>
        <v>#N/A</v>
      </c>
      <c r="AD53" s="539"/>
      <c r="AE53" s="543"/>
      <c r="AF53" s="539" t="e">
        <f>SUM(AF26,AF30,AF34,AF38,AF42,AF46,AF50)</f>
        <v>#N/A</v>
      </c>
      <c r="AG53" s="541"/>
      <c r="AH53" s="542"/>
      <c r="AI53" s="539" t="e">
        <f>SUM(AI26,AI30,AI34,AI38,AI42,AI46,AI50)</f>
        <v>#N/A</v>
      </c>
      <c r="AJ53" s="543"/>
      <c r="AK53" s="542"/>
      <c r="AL53" s="539" t="e">
        <f>SUM(AL26,AL30,AL34,AL38,AL42,AL46,AL50)</f>
        <v>#N/A</v>
      </c>
      <c r="AM53" s="543"/>
      <c r="AN53" s="541"/>
      <c r="AO53" s="544"/>
      <c r="AP53" s="545"/>
      <c r="AQ53" s="546" t="e">
        <f>$AT$53*$K$8</f>
        <v>#N/A</v>
      </c>
      <c r="AR53" s="547"/>
      <c r="AS53" s="547"/>
      <c r="AT53" s="548" t="e">
        <f>SUM(AT26,AT30,AT34,AT38,AT42,AT46,AT50)</f>
        <v>#N/A</v>
      </c>
      <c r="AU53" s="193"/>
      <c r="AV53" s="335"/>
      <c r="AW53" s="362"/>
      <c r="AX53" s="361" t="e">
        <f>$Z$53</f>
        <v>#N/A</v>
      </c>
      <c r="AY53" s="362"/>
      <c r="AZ53" s="363" t="e">
        <f>SUM(BA26,BA30,BA34,BA38,BA42,BA46,BA50)/$AX$53</f>
        <v>#N/A</v>
      </c>
      <c r="BA53" s="360"/>
      <c r="BB53" s="360"/>
      <c r="BC53" s="363" t="e">
        <f>SUM(BD26,BD30,BD34,BD38,BD42,BD46,BD50)/$AX$53</f>
        <v>#N/A</v>
      </c>
      <c r="BD53" s="364"/>
      <c r="BE53" s="364"/>
      <c r="BF53" s="363" t="e">
        <f>SUM(BG26,BG30,BG34,BG38,BG42,BG46,BG50)/$AX$53</f>
        <v>#N/A</v>
      </c>
      <c r="BG53" s="365"/>
      <c r="BH53" s="365"/>
      <c r="BI53" s="353"/>
      <c r="BJ53" s="204"/>
      <c r="BK53" s="18"/>
      <c r="BL53" s="13"/>
      <c r="BM53" s="13"/>
      <c r="BN53" s="7"/>
      <c r="BO53" s="13"/>
      <c r="BP53" s="13"/>
      <c r="BQ53" s="13"/>
      <c r="BR53" s="13"/>
      <c r="BS53" s="13"/>
      <c r="BT53" s="13"/>
      <c r="BU53" s="13"/>
      <c r="BV53" s="13"/>
      <c r="BW53" s="13"/>
      <c r="BX53" s="13"/>
      <c r="BY53" s="13"/>
      <c r="BZ53" s="7"/>
      <c r="CA53" s="7"/>
      <c r="CB53" s="7"/>
    </row>
    <row r="54" spans="1:87">
      <c r="A54" s="194"/>
      <c r="B54" s="194"/>
      <c r="C54" s="194"/>
      <c r="D54" s="194"/>
      <c r="E54" s="194"/>
      <c r="F54" s="194"/>
      <c r="G54" s="194"/>
      <c r="H54" s="194"/>
      <c r="I54" s="194"/>
      <c r="J54" s="194"/>
      <c r="K54" s="187"/>
      <c r="L54" s="187"/>
      <c r="M54" s="194"/>
      <c r="N54" s="277"/>
      <c r="O54" s="194"/>
      <c r="Q54" s="17"/>
      <c r="R54" s="4"/>
      <c r="S54" s="4"/>
      <c r="T54" s="4"/>
      <c r="U54" s="4"/>
      <c r="V54" s="4"/>
      <c r="W54" s="4"/>
      <c r="X54" s="53"/>
      <c r="Y54" s="4"/>
      <c r="Z54" s="4"/>
      <c r="AA54" s="53"/>
      <c r="AB54" s="4"/>
      <c r="AC54" s="4"/>
      <c r="AD54" s="53"/>
      <c r="AE54" s="4"/>
      <c r="AF54" s="4"/>
      <c r="AG54" s="53"/>
      <c r="AH54" s="4"/>
      <c r="AI54" s="4"/>
      <c r="AJ54" s="53"/>
      <c r="AK54" s="4"/>
      <c r="AL54" s="4"/>
      <c r="AM54" s="4"/>
      <c r="AN54" s="4"/>
      <c r="AO54" s="4"/>
      <c r="AP54" s="17"/>
      <c r="AQ54" s="17"/>
      <c r="AR54" s="17"/>
      <c r="AS54" s="4"/>
      <c r="AT54" s="4"/>
      <c r="AU54" s="317"/>
      <c r="AV54" s="335"/>
      <c r="AW54" s="317"/>
      <c r="AX54" s="317"/>
      <c r="AY54" s="317"/>
      <c r="AZ54" s="317"/>
      <c r="BA54" s="317"/>
      <c r="BB54" s="317"/>
      <c r="BC54" s="317"/>
      <c r="BD54" s="317"/>
      <c r="BE54" s="317"/>
      <c r="BF54" s="317"/>
      <c r="BG54" s="317"/>
      <c r="BH54" s="317"/>
      <c r="BI54" s="193"/>
      <c r="BJ54" s="193"/>
      <c r="BN54" s="5"/>
      <c r="BO54" s="6"/>
      <c r="BP54" s="5"/>
      <c r="BQ54" s="5"/>
      <c r="BR54" s="5"/>
      <c r="BS54" s="5"/>
      <c r="BT54" s="6"/>
      <c r="BU54" s="6"/>
      <c r="BV54" s="5"/>
      <c r="BW54" s="5"/>
      <c r="BX54" s="5"/>
      <c r="BY54" s="5"/>
      <c r="BZ54" s="5"/>
      <c r="CA54" s="5"/>
      <c r="CB54" s="5"/>
      <c r="CC54" s="5"/>
      <c r="CD54" s="5"/>
      <c r="CE54" s="5"/>
      <c r="CF54" s="5"/>
      <c r="CG54" s="6"/>
      <c r="CH54" s="5"/>
      <c r="CI54" s="5"/>
    </row>
    <row r="55" spans="1:87" ht="21">
      <c r="A55" s="194"/>
      <c r="B55" s="194"/>
      <c r="C55" s="194"/>
      <c r="D55" s="194"/>
      <c r="E55" s="194"/>
      <c r="F55" s="194"/>
      <c r="G55" s="194"/>
      <c r="H55" s="194"/>
      <c r="I55" s="194"/>
      <c r="J55" s="194"/>
      <c r="K55" s="187"/>
      <c r="L55" s="187"/>
      <c r="M55" s="194"/>
      <c r="N55" s="277"/>
      <c r="O55" s="194"/>
      <c r="P55" s="260"/>
      <c r="Q55" s="245" t="s">
        <v>151</v>
      </c>
      <c r="R55" s="246"/>
      <c r="S55" s="246"/>
      <c r="T55" s="246"/>
      <c r="U55" s="246"/>
      <c r="V55" s="247"/>
      <c r="W55" s="247"/>
      <c r="X55" s="247"/>
      <c r="Y55" s="246"/>
      <c r="Z55" s="246"/>
      <c r="AA55" s="246"/>
      <c r="AB55" s="246"/>
      <c r="AC55" s="246"/>
      <c r="AD55" s="246"/>
      <c r="AE55" s="246"/>
      <c r="AF55" s="248"/>
      <c r="AG55" s="248"/>
      <c r="AH55" s="248"/>
      <c r="AI55" s="248"/>
      <c r="AJ55" s="248"/>
      <c r="AK55" s="249"/>
      <c r="AL55" s="249"/>
      <c r="AM55" s="249"/>
      <c r="AN55" s="249"/>
      <c r="AO55" s="249"/>
      <c r="AP55" s="249"/>
      <c r="AQ55" s="249"/>
      <c r="AR55" s="250"/>
      <c r="AS55" s="251"/>
      <c r="AT55" s="251"/>
      <c r="AU55" s="251"/>
      <c r="AV55" s="251"/>
      <c r="AW55" s="251"/>
      <c r="AX55" s="251"/>
      <c r="AY55" s="251"/>
      <c r="AZ55" s="251"/>
      <c r="BA55" s="251"/>
      <c r="BB55" s="251"/>
      <c r="BC55" s="251"/>
      <c r="BD55" s="251"/>
      <c r="BE55" s="251"/>
      <c r="BF55" s="252"/>
      <c r="BG55" s="147"/>
      <c r="BH55" s="148"/>
      <c r="BI55" s="193"/>
      <c r="BJ55" s="193"/>
      <c r="BN55" s="5"/>
      <c r="BO55" s="23"/>
      <c r="BP55" s="5"/>
      <c r="BQ55" s="5"/>
      <c r="BR55" s="5"/>
      <c r="BS55" s="5"/>
      <c r="BT55" s="6"/>
      <c r="BU55" s="6"/>
      <c r="BV55" s="5"/>
      <c r="BW55" s="5"/>
      <c r="BX55" s="5"/>
      <c r="BY55" s="5"/>
      <c r="BZ55" s="5"/>
      <c r="CA55" s="5"/>
      <c r="CB55" s="5"/>
      <c r="CC55" s="5"/>
      <c r="CD55" s="5"/>
      <c r="CE55" s="5"/>
      <c r="CF55" s="5"/>
      <c r="CG55" s="6"/>
      <c r="CH55" s="5"/>
      <c r="CI55" s="5"/>
    </row>
    <row r="56" spans="1:87" ht="15.6">
      <c r="A56" s="194"/>
      <c r="B56" s="194"/>
      <c r="C56" s="194"/>
      <c r="D56" s="194"/>
      <c r="E56" s="194"/>
      <c r="F56" s="194"/>
      <c r="G56" s="194"/>
      <c r="H56" s="194"/>
      <c r="I56" s="194"/>
      <c r="J56" s="194"/>
      <c r="K56" s="187"/>
      <c r="L56" s="187"/>
      <c r="M56" s="194"/>
      <c r="N56" s="277"/>
      <c r="O56" s="194"/>
      <c r="P56" s="261"/>
      <c r="Q56" s="253" t="s">
        <v>120</v>
      </c>
      <c r="R56" s="254"/>
      <c r="S56" s="254" t="e">
        <f>IF(AND(T16&lt;-0.5,T18&lt;-0.5),"Both",IF(T16&lt;-0.5,"Curr.",IF(T18&lt;-0.5,"Prop.","")))</f>
        <v>#N/A</v>
      </c>
      <c r="T56" s="1926" t="e">
        <f>IF(OR(T16&lt;-0.5,T18&lt;-0.5),"Dry matter intake is less than required"," ")</f>
        <v>#N/A</v>
      </c>
      <c r="U56" s="1926"/>
      <c r="V56" s="1926"/>
      <c r="W56" s="1926"/>
      <c r="X56" s="1926"/>
      <c r="Y56" s="1926"/>
      <c r="Z56" s="1926"/>
      <c r="AA56" s="1926"/>
      <c r="AB56" s="1926"/>
      <c r="AC56" s="1926"/>
      <c r="AD56" s="1926"/>
      <c r="AE56" s="1926"/>
      <c r="AF56" s="1926"/>
      <c r="AG56" s="1926"/>
      <c r="AH56" s="1926"/>
      <c r="AI56" s="1926"/>
      <c r="AJ56" s="1926"/>
      <c r="AK56" s="1926"/>
      <c r="AL56" s="1926"/>
      <c r="AM56" s="1926"/>
      <c r="AN56" s="1926"/>
      <c r="AO56" s="1926"/>
      <c r="AP56" s="1926"/>
      <c r="AQ56" s="1926"/>
      <c r="AR56" s="1926"/>
      <c r="AS56" s="1926"/>
      <c r="AT56" s="1926"/>
      <c r="AU56" s="1926"/>
      <c r="AV56" s="1926"/>
      <c r="AW56" s="1926"/>
      <c r="AX56" s="1926"/>
      <c r="AY56" s="1926"/>
      <c r="AZ56" s="1926"/>
      <c r="BA56" s="1926"/>
      <c r="BB56" s="1926"/>
      <c r="BC56" s="1926"/>
      <c r="BD56" s="255"/>
      <c r="BE56" s="255"/>
      <c r="BF56" s="256"/>
      <c r="BG56" s="150"/>
      <c r="BH56" s="151"/>
      <c r="BI56" s="193"/>
      <c r="BJ56" s="193"/>
      <c r="BN56" s="5"/>
      <c r="BO56" s="23"/>
      <c r="BP56" s="5"/>
      <c r="BQ56" s="5"/>
      <c r="BR56" s="5"/>
      <c r="BS56" s="5"/>
      <c r="BT56" s="6"/>
      <c r="BU56" s="6"/>
      <c r="BV56" s="5"/>
      <c r="BW56" s="5"/>
      <c r="BX56" s="5"/>
      <c r="BY56" s="5"/>
      <c r="BZ56" s="5"/>
      <c r="CA56" s="5"/>
      <c r="CB56" s="5"/>
      <c r="CC56" s="5"/>
      <c r="CD56" s="5"/>
      <c r="CE56" s="5"/>
      <c r="CF56" s="5"/>
      <c r="CG56" s="6"/>
      <c r="CH56" s="5"/>
      <c r="CI56" s="5"/>
    </row>
    <row r="57" spans="1:87" ht="21.75" customHeight="1">
      <c r="A57" s="194"/>
      <c r="B57" s="194"/>
      <c r="C57" s="194"/>
      <c r="D57" s="194"/>
      <c r="E57" s="194"/>
      <c r="F57" s="194"/>
      <c r="G57" s="194"/>
      <c r="H57" s="194"/>
      <c r="I57" s="194"/>
      <c r="J57" s="194"/>
      <c r="K57" s="187"/>
      <c r="L57" s="187"/>
      <c r="M57" s="194"/>
      <c r="N57" s="277"/>
      <c r="O57" s="194"/>
      <c r="P57" s="261"/>
      <c r="Q57" s="257" t="s">
        <v>12</v>
      </c>
      <c r="R57" s="254"/>
      <c r="S57" s="254" t="e">
        <f>IF(AND(AC15&lt;35,AC17&lt;35),"Both",IF(AC15&lt;35,"Curr.",IF(AC17&lt;35,"Prop.","")))</f>
        <v>#N/A</v>
      </c>
      <c r="T57" s="1931" t="e">
        <f>IF(OR(AC15&lt;35,AC17&lt;35),"Neutral detergent fibre levels are below recommended value. Add more fibre to the diet (e.g. silage/pasture) or reduce starch based supplements"," ")</f>
        <v>#N/A</v>
      </c>
      <c r="U57" s="1931"/>
      <c r="V57" s="1931"/>
      <c r="W57" s="1931"/>
      <c r="X57" s="1931"/>
      <c r="Y57" s="1931"/>
      <c r="Z57" s="1931"/>
      <c r="AA57" s="1931"/>
      <c r="AB57" s="1931"/>
      <c r="AC57" s="1931"/>
      <c r="AD57" s="1931"/>
      <c r="AE57" s="1931"/>
      <c r="AF57" s="1931"/>
      <c r="AG57" s="1931"/>
      <c r="AH57" s="1931"/>
      <c r="AI57" s="1931"/>
      <c r="AJ57" s="1931"/>
      <c r="AK57" s="1931"/>
      <c r="AL57" s="1931"/>
      <c r="AM57" s="1931"/>
      <c r="AN57" s="1931"/>
      <c r="AO57" s="1931"/>
      <c r="AP57" s="1931"/>
      <c r="AQ57" s="1931"/>
      <c r="AR57" s="1931"/>
      <c r="AS57" s="1931"/>
      <c r="AT57" s="1931"/>
      <c r="AU57" s="1931"/>
      <c r="AV57" s="1931"/>
      <c r="AW57" s="1931"/>
      <c r="AX57" s="1931"/>
      <c r="AY57" s="1931"/>
      <c r="AZ57" s="1931"/>
      <c r="BA57" s="1931"/>
      <c r="BB57" s="1931"/>
      <c r="BC57" s="1931"/>
      <c r="BD57" s="1931"/>
      <c r="BE57" s="1931"/>
      <c r="BF57" s="1932"/>
      <c r="BG57" s="150"/>
      <c r="BH57" s="151"/>
      <c r="BI57" s="193"/>
      <c r="BJ57" s="193"/>
      <c r="BN57" s="5"/>
      <c r="BO57" s="6"/>
      <c r="BP57" s="5"/>
      <c r="BQ57" s="5"/>
      <c r="BR57" s="5"/>
      <c r="BS57" s="5"/>
      <c r="BT57" s="6"/>
      <c r="BU57" s="6"/>
      <c r="BV57" s="5"/>
      <c r="BW57" s="5"/>
      <c r="BX57" s="5"/>
      <c r="BY57" s="5"/>
      <c r="BZ57" s="5"/>
      <c r="CA57" s="5"/>
      <c r="CB57" s="5"/>
      <c r="CC57" s="5"/>
      <c r="CD57" s="5"/>
      <c r="CE57" s="5"/>
      <c r="CF57" s="5"/>
      <c r="CG57" s="6"/>
      <c r="CH57" s="5"/>
      <c r="CI57" s="5"/>
    </row>
    <row r="58" spans="1:87" ht="15.6">
      <c r="A58" s="194"/>
      <c r="B58" s="194"/>
      <c r="C58" s="194"/>
      <c r="D58" s="194"/>
      <c r="E58" s="194"/>
      <c r="F58" s="194"/>
      <c r="G58" s="194"/>
      <c r="H58" s="194"/>
      <c r="I58" s="194"/>
      <c r="J58" s="194"/>
      <c r="K58" s="187"/>
      <c r="L58" s="187"/>
      <c r="M58" s="194"/>
      <c r="N58" s="277"/>
      <c r="O58" s="194"/>
      <c r="P58" s="261"/>
      <c r="Q58" s="257" t="s">
        <v>122</v>
      </c>
      <c r="R58" s="254"/>
      <c r="S58" s="254" t="e">
        <f>IF(AND(AF15&gt;=38,AF17&gt;=38),"Both",IF(AF15&gt;=38,"Curr.",IF(AF17&gt;=38,"Prop.","")))</f>
        <v>#N/A</v>
      </c>
      <c r="T58" s="1926" t="e">
        <f>IF(OR(AF15&gt;=38,AF17&gt;=38),"Soluble sugar and starch levels are greater than reccomended. Reduce supplements high in starch or sugars (e.g. barley/maize grain"," ")</f>
        <v>#N/A</v>
      </c>
      <c r="U58" s="1926"/>
      <c r="V58" s="1926"/>
      <c r="W58" s="1926"/>
      <c r="X58" s="1926"/>
      <c r="Y58" s="1926"/>
      <c r="Z58" s="1926"/>
      <c r="AA58" s="1926"/>
      <c r="AB58" s="1926"/>
      <c r="AC58" s="1926"/>
      <c r="AD58" s="1926"/>
      <c r="AE58" s="1926"/>
      <c r="AF58" s="1926"/>
      <c r="AG58" s="1926"/>
      <c r="AH58" s="1926"/>
      <c r="AI58" s="1926"/>
      <c r="AJ58" s="1926"/>
      <c r="AK58" s="1926"/>
      <c r="AL58" s="1926"/>
      <c r="AM58" s="1926"/>
      <c r="AN58" s="1926"/>
      <c r="AO58" s="1926"/>
      <c r="AP58" s="1926"/>
      <c r="AQ58" s="1926"/>
      <c r="AR58" s="1926"/>
      <c r="AS58" s="1926"/>
      <c r="AT58" s="1926"/>
      <c r="AU58" s="1926"/>
      <c r="AV58" s="1926"/>
      <c r="AW58" s="1926"/>
      <c r="AX58" s="1926"/>
      <c r="AY58" s="1926"/>
      <c r="AZ58" s="1926"/>
      <c r="BA58" s="1926"/>
      <c r="BB58" s="1926"/>
      <c r="BC58" s="1926"/>
      <c r="BD58" s="1926"/>
      <c r="BE58" s="1926"/>
      <c r="BF58" s="1933"/>
      <c r="BG58" s="150"/>
      <c r="BH58" s="151"/>
      <c r="BI58" s="193"/>
      <c r="BJ58" s="193"/>
    </row>
    <row r="59" spans="1:87" ht="17.25" customHeight="1">
      <c r="A59" s="194"/>
      <c r="B59" s="194"/>
      <c r="C59" s="194"/>
      <c r="D59" s="194"/>
      <c r="E59" s="194"/>
      <c r="F59" s="194"/>
      <c r="G59" s="194"/>
      <c r="H59" s="194"/>
      <c r="I59" s="194"/>
      <c r="J59" s="194"/>
      <c r="K59" s="187"/>
      <c r="L59" s="187"/>
      <c r="M59" s="194"/>
      <c r="N59" s="277"/>
      <c r="O59" s="194"/>
      <c r="P59" s="261"/>
      <c r="Q59" s="257" t="s">
        <v>118</v>
      </c>
      <c r="R59" s="254"/>
      <c r="S59" s="254" t="e">
        <f>IF(AND(AI15&gt;30,AI17&gt;=30),"Both",IF(AI15&gt;30,"Curr.",IF(AI17&gt;=30,"Prop.","")))</f>
        <v>#N/A</v>
      </c>
      <c r="T59" s="1931" t="e">
        <f>IF(OR(AI15&gt;30,AI17&gt;=30),"Starch levels in the diet are greater than reccomended. Reduce supplements that are high in starch (e.g. barley or wheat)"," ")</f>
        <v>#N/A</v>
      </c>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c r="AS59" s="1931"/>
      <c r="AT59" s="1931"/>
      <c r="AU59" s="1931"/>
      <c r="AV59" s="1931"/>
      <c r="AW59" s="1931"/>
      <c r="AX59" s="1931"/>
      <c r="AY59" s="1931"/>
      <c r="AZ59" s="1931"/>
      <c r="BA59" s="1931"/>
      <c r="BB59" s="1931"/>
      <c r="BC59" s="1931"/>
      <c r="BD59" s="1931"/>
      <c r="BE59" s="1931"/>
      <c r="BF59" s="1932"/>
      <c r="BG59" s="150"/>
      <c r="BH59" s="151"/>
      <c r="BI59" s="193"/>
      <c r="BJ59" s="193"/>
    </row>
    <row r="60" spans="1:87" ht="15.6">
      <c r="A60" s="194"/>
      <c r="B60" s="194"/>
      <c r="C60" s="194"/>
      <c r="D60" s="194"/>
      <c r="E60" s="194"/>
      <c r="F60" s="194"/>
      <c r="G60" s="194"/>
      <c r="H60" s="194"/>
      <c r="I60" s="194"/>
      <c r="J60" s="194"/>
      <c r="K60" s="187"/>
      <c r="L60" s="187"/>
      <c r="M60" s="194"/>
      <c r="N60" s="277"/>
      <c r="O60" s="194"/>
      <c r="P60" s="262"/>
      <c r="Q60" s="258" t="s">
        <v>119</v>
      </c>
      <c r="R60" s="259"/>
      <c r="S60" s="259" t="e">
        <f>IF(AND(AL15&gt;8,AL17&gt;8),"Both",IF(AL15&gt;8,"Curr.",IF(AL17&gt;8,"Prop.","")))</f>
        <v>#N/A</v>
      </c>
      <c r="T60" s="1934" t="e">
        <f>IF(OR(AL15&gt;8,AL17&gt;8),"Fat levels in the diet are greater than reccomended. Reduce feeds high in unsaturated fats (e.g. sunflower oil"," ")</f>
        <v>#N/A</v>
      </c>
      <c r="U60" s="1934"/>
      <c r="V60" s="1934"/>
      <c r="W60" s="1934"/>
      <c r="X60" s="1934"/>
      <c r="Y60" s="1934"/>
      <c r="Z60" s="1934"/>
      <c r="AA60" s="1934"/>
      <c r="AB60" s="1934"/>
      <c r="AC60" s="1934"/>
      <c r="AD60" s="1934"/>
      <c r="AE60" s="1934"/>
      <c r="AF60" s="1934"/>
      <c r="AG60" s="1934"/>
      <c r="AH60" s="1934"/>
      <c r="AI60" s="1934"/>
      <c r="AJ60" s="1934"/>
      <c r="AK60" s="1934"/>
      <c r="AL60" s="1934"/>
      <c r="AM60" s="1934"/>
      <c r="AN60" s="1934"/>
      <c r="AO60" s="1934"/>
      <c r="AP60" s="1934"/>
      <c r="AQ60" s="1934"/>
      <c r="AR60" s="1934"/>
      <c r="AS60" s="1934"/>
      <c r="AT60" s="1934"/>
      <c r="AU60" s="1934"/>
      <c r="AV60" s="1934"/>
      <c r="AW60" s="1934"/>
      <c r="AX60" s="1934"/>
      <c r="AY60" s="1934"/>
      <c r="AZ60" s="1934"/>
      <c r="BA60" s="1934"/>
      <c r="BB60" s="1934"/>
      <c r="BC60" s="1934"/>
      <c r="BD60" s="1934"/>
      <c r="BE60" s="1934"/>
      <c r="BF60" s="1935"/>
      <c r="BG60" s="150"/>
      <c r="BH60" s="151"/>
      <c r="BI60" s="193"/>
      <c r="BJ60" s="193"/>
    </row>
    <row r="61" spans="1:87" ht="15.6" hidden="1">
      <c r="A61" s="194"/>
      <c r="B61" s="194"/>
      <c r="C61" s="194"/>
      <c r="D61" s="194"/>
      <c r="E61" s="194"/>
      <c r="F61" s="194"/>
      <c r="G61" s="194"/>
      <c r="H61" s="194"/>
      <c r="I61" s="194"/>
      <c r="J61" s="194"/>
      <c r="K61" s="187"/>
      <c r="L61" s="187"/>
      <c r="M61" s="194"/>
      <c r="N61" s="277"/>
      <c r="O61" s="194"/>
      <c r="P61" s="141"/>
      <c r="Q61" s="149" t="s">
        <v>212</v>
      </c>
      <c r="R61" s="150"/>
      <c r="S61" s="150" t="e">
        <f>IF(AND(Z15&lt;Z13,Z17&lt;Z13),"Both",IF(Z15&lt;Z13,"Curr.",IF(Z17&lt;Z13,"Prop.","")))</f>
        <v>#N/A</v>
      </c>
      <c r="T61" s="135" t="e">
        <f>IF(OR(Z15&lt;Z13,Z17&lt;Z13),"Protein levels are below recommended values; however, it is often not economical to use an expensive protein supplement.  See Example in Extra Info  tab"," ")</f>
        <v>#N/A</v>
      </c>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50"/>
      <c r="BH61" s="151"/>
      <c r="BI61" s="193"/>
      <c r="BJ61" s="193"/>
      <c r="BN61" s="5"/>
      <c r="BO61" s="23"/>
      <c r="BP61" s="5"/>
      <c r="BQ61" s="5"/>
      <c r="BR61" s="5"/>
      <c r="BS61" s="5"/>
      <c r="BT61" s="6"/>
      <c r="BU61" s="6"/>
      <c r="BV61" s="5"/>
      <c r="BW61" s="5"/>
      <c r="BX61" s="5"/>
      <c r="BY61" s="5"/>
      <c r="BZ61" s="5"/>
      <c r="CA61" s="5"/>
      <c r="CB61" s="5"/>
      <c r="CC61" s="5"/>
      <c r="CD61" s="5"/>
      <c r="CE61" s="5"/>
      <c r="CF61" s="5"/>
      <c r="CG61" s="6"/>
      <c r="CH61" s="5"/>
      <c r="CI61" s="5"/>
    </row>
    <row r="62" spans="1:87" ht="15.6" hidden="1">
      <c r="A62" s="194"/>
      <c r="B62" s="194"/>
      <c r="C62" s="194"/>
      <c r="D62" s="194"/>
      <c r="E62" s="194"/>
      <c r="F62" s="194"/>
      <c r="G62" s="194"/>
      <c r="H62" s="194"/>
      <c r="I62" s="194"/>
      <c r="J62" s="194"/>
      <c r="K62" s="187"/>
      <c r="L62" s="187"/>
      <c r="M62" s="194"/>
      <c r="N62" s="277"/>
      <c r="O62" s="194"/>
      <c r="P62" s="142"/>
      <c r="Q62" s="134" t="s">
        <v>213</v>
      </c>
      <c r="R62" s="150"/>
      <c r="S62" s="150"/>
      <c r="T62" s="135" t="e">
        <f>IF(AND((AZ52+BF52)&lt;100,AZ52&gt;35)," ","UDP levels are below recommended values; however, other factors such as passage rate and total dietary protein content need to be taken into account.  See FeedRight TechNote 15 for more information")</f>
        <v>#N/A</v>
      </c>
      <c r="U62" s="136"/>
      <c r="V62" s="136"/>
      <c r="W62" s="150"/>
      <c r="X62" s="150"/>
      <c r="Y62" s="150"/>
      <c r="Z62" s="150"/>
      <c r="AA62" s="150"/>
      <c r="AB62" s="150"/>
      <c r="AC62" s="150"/>
      <c r="AD62" s="150"/>
      <c r="AE62" s="150"/>
      <c r="AF62" s="150"/>
      <c r="AG62" s="150"/>
      <c r="AH62" s="150"/>
      <c r="AI62" s="150"/>
      <c r="AJ62" s="150"/>
      <c r="AK62" s="150"/>
      <c r="AL62" s="152"/>
      <c r="AM62" s="152"/>
      <c r="AN62" s="152"/>
      <c r="AO62" s="152"/>
      <c r="AP62" s="153"/>
      <c r="AQ62" s="153"/>
      <c r="AR62" s="153"/>
      <c r="AS62" s="150"/>
      <c r="AT62" s="150"/>
      <c r="AU62" s="150"/>
      <c r="AV62" s="150"/>
      <c r="AW62" s="150"/>
      <c r="AX62" s="150"/>
      <c r="AY62" s="150"/>
      <c r="AZ62" s="150"/>
      <c r="BA62" s="150"/>
      <c r="BB62" s="150"/>
      <c r="BC62" s="150"/>
      <c r="BD62" s="150"/>
      <c r="BE62" s="150"/>
      <c r="BF62" s="150"/>
      <c r="BG62" s="150"/>
      <c r="BH62" s="151"/>
      <c r="BI62" s="193"/>
      <c r="BJ62" s="193"/>
    </row>
    <row r="63" spans="1:87" ht="15.6" hidden="1">
      <c r="A63" s="194"/>
      <c r="B63" s="194"/>
      <c r="C63" s="194"/>
      <c r="D63" s="194"/>
      <c r="E63" s="194"/>
      <c r="F63" s="194"/>
      <c r="G63" s="194"/>
      <c r="H63" s="194"/>
      <c r="I63" s="194"/>
      <c r="J63" s="194"/>
      <c r="K63" s="187"/>
      <c r="L63" s="187"/>
      <c r="M63" s="194"/>
      <c r="N63" s="277"/>
      <c r="O63" s="194"/>
      <c r="P63" s="143"/>
      <c r="Q63" s="134" t="s">
        <v>96</v>
      </c>
      <c r="R63" s="150"/>
      <c r="S63" s="150"/>
      <c r="T63" s="135" t="e">
        <f>IF(AND((AZ52+BC52)&lt;100,AZ52&gt;32)," ","Soluble protein levels are below recommended values; however, other factors such as passage rate and total dietary protein content need to be taken into account.  See FeedRight TechNote 15 for more information")</f>
        <v>#N/A</v>
      </c>
      <c r="U63" s="150"/>
      <c r="V63" s="150"/>
      <c r="W63" s="150"/>
      <c r="X63" s="150"/>
      <c r="Y63" s="150"/>
      <c r="Z63" s="150"/>
      <c r="AA63" s="150"/>
      <c r="AB63" s="150"/>
      <c r="AC63" s="150"/>
      <c r="AD63" s="150"/>
      <c r="AE63" s="150"/>
      <c r="AF63" s="150"/>
      <c r="AG63" s="150"/>
      <c r="AH63" s="150"/>
      <c r="AI63" s="150"/>
      <c r="AJ63" s="150"/>
      <c r="AK63" s="150"/>
      <c r="AL63" s="150"/>
      <c r="AM63" s="150"/>
      <c r="AN63" s="150"/>
      <c r="AO63" s="150"/>
      <c r="AP63" s="154"/>
      <c r="AQ63" s="154"/>
      <c r="AR63" s="154"/>
      <c r="AS63" s="150"/>
      <c r="AT63" s="150"/>
      <c r="AU63" s="150"/>
      <c r="AV63" s="150"/>
      <c r="AW63" s="150"/>
      <c r="AX63" s="150"/>
      <c r="AY63" s="150"/>
      <c r="AZ63" s="150"/>
      <c r="BA63" s="150"/>
      <c r="BB63" s="150"/>
      <c r="BC63" s="150"/>
      <c r="BD63" s="150"/>
      <c r="BE63" s="150"/>
      <c r="BF63" s="150"/>
      <c r="BG63" s="150"/>
      <c r="BH63" s="151"/>
      <c r="BI63" s="193"/>
      <c r="BJ63" s="193"/>
    </row>
    <row r="64" spans="1:87" hidden="1">
      <c r="A64" s="194"/>
      <c r="B64" s="194"/>
      <c r="C64" s="194"/>
      <c r="D64" s="194"/>
      <c r="E64" s="194"/>
      <c r="F64" s="194"/>
      <c r="G64" s="194"/>
      <c r="H64" s="194"/>
      <c r="I64" s="194"/>
      <c r="J64" s="194"/>
      <c r="K64" s="187"/>
      <c r="L64" s="187"/>
      <c r="M64" s="194"/>
      <c r="N64" s="277"/>
      <c r="O64" s="194"/>
      <c r="P64" s="143"/>
      <c r="Q64" s="134" t="s">
        <v>214</v>
      </c>
      <c r="R64" s="150"/>
      <c r="S64" s="150"/>
      <c r="T64" s="137" t="e">
        <f>IF(AND((AZ52+BF52)&lt;100,BF52&lt;65)," ","RDP levels are above recommended values; however, other factors such as passage rate and total dietary protein content need to be taken into account before dietary changes are made.  See FeedRight TechNote 15 for more information")</f>
        <v>#N/A</v>
      </c>
      <c r="U64" s="150"/>
      <c r="V64" s="150"/>
      <c r="W64" s="150"/>
      <c r="X64" s="150"/>
      <c r="Y64" s="150"/>
      <c r="Z64" s="150"/>
      <c r="AA64" s="150"/>
      <c r="AB64" s="150"/>
      <c r="AC64" s="150"/>
      <c r="AD64" s="150"/>
      <c r="AE64" s="150"/>
      <c r="AF64" s="150"/>
      <c r="AG64" s="150"/>
      <c r="AH64" s="150"/>
      <c r="AI64" s="150"/>
      <c r="AJ64" s="150"/>
      <c r="AK64" s="150"/>
      <c r="AL64" s="150"/>
      <c r="AM64" s="150"/>
      <c r="AN64" s="150"/>
      <c r="AO64" s="150"/>
      <c r="AP64" s="154"/>
      <c r="AQ64" s="154"/>
      <c r="AR64" s="154"/>
      <c r="AS64" s="150"/>
      <c r="AT64" s="150"/>
      <c r="AU64" s="150"/>
      <c r="AV64" s="150"/>
      <c r="AW64" s="150"/>
      <c r="AX64" s="150"/>
      <c r="AY64" s="150"/>
      <c r="AZ64" s="150"/>
      <c r="BA64" s="150"/>
      <c r="BB64" s="150"/>
      <c r="BC64" s="150"/>
      <c r="BD64" s="150"/>
      <c r="BE64" s="150"/>
      <c r="BF64" s="150"/>
      <c r="BG64" s="150"/>
      <c r="BH64" s="151"/>
      <c r="BI64" s="193"/>
      <c r="BJ64" s="193"/>
    </row>
    <row r="65" spans="1:62" hidden="1">
      <c r="A65" s="194"/>
      <c r="B65" s="194"/>
      <c r="C65" s="194"/>
      <c r="D65" s="194"/>
      <c r="E65" s="194"/>
      <c r="F65" s="194"/>
      <c r="G65" s="194"/>
      <c r="H65" s="194"/>
      <c r="I65" s="194"/>
      <c r="J65" s="194"/>
      <c r="K65" s="187"/>
      <c r="L65" s="187"/>
      <c r="M65" s="194"/>
      <c r="N65" s="277"/>
      <c r="O65" s="194"/>
      <c r="P65" s="144"/>
      <c r="Q65" s="155"/>
      <c r="R65" s="156"/>
      <c r="S65" s="156"/>
      <c r="T65" s="156"/>
      <c r="U65" s="156"/>
      <c r="V65" s="156"/>
      <c r="W65" s="156"/>
      <c r="X65" s="156"/>
      <c r="Y65" s="156"/>
      <c r="Z65" s="156"/>
      <c r="AA65" s="156"/>
      <c r="AB65" s="156"/>
      <c r="AC65" s="156"/>
      <c r="AD65" s="156"/>
      <c r="AE65" s="156"/>
      <c r="AF65" s="156"/>
      <c r="AG65" s="156"/>
      <c r="AH65" s="156"/>
      <c r="AI65" s="156"/>
      <c r="AJ65" s="156"/>
      <c r="AK65" s="156"/>
      <c r="AL65" s="156"/>
      <c r="AM65" s="157"/>
      <c r="AN65" s="157"/>
      <c r="AO65" s="157"/>
      <c r="AP65" s="158"/>
      <c r="AQ65" s="158"/>
      <c r="AR65" s="158"/>
      <c r="AS65" s="156"/>
      <c r="AT65" s="156"/>
      <c r="AU65" s="156"/>
      <c r="AV65" s="156"/>
      <c r="AW65" s="156"/>
      <c r="AX65" s="156"/>
      <c r="AY65" s="156"/>
      <c r="AZ65" s="156"/>
      <c r="BA65" s="156"/>
      <c r="BB65" s="156"/>
      <c r="BC65" s="156"/>
      <c r="BD65" s="156"/>
      <c r="BE65" s="156"/>
      <c r="BF65" s="156"/>
      <c r="BG65" s="156"/>
      <c r="BH65" s="159"/>
      <c r="BI65" s="193"/>
      <c r="BJ65" s="193"/>
    </row>
    <row r="66" spans="1:62" hidden="1">
      <c r="A66" s="194"/>
      <c r="B66" s="194"/>
      <c r="C66" s="194"/>
      <c r="D66" s="194"/>
      <c r="E66" s="194"/>
      <c r="F66" s="194"/>
      <c r="G66" s="194"/>
      <c r="H66" s="194"/>
      <c r="I66" s="194"/>
      <c r="J66" s="194"/>
      <c r="K66" s="187"/>
      <c r="L66" s="187"/>
      <c r="M66" s="194"/>
      <c r="N66" s="277"/>
      <c r="O66" s="194"/>
      <c r="P66" s="140" t="s">
        <v>102</v>
      </c>
      <c r="Q66" s="32"/>
      <c r="R66" s="17"/>
      <c r="S66" s="4"/>
      <c r="T66" s="4"/>
      <c r="U66" s="160"/>
      <c r="V66" s="4"/>
      <c r="W66" s="4"/>
      <c r="X66" s="53"/>
      <c r="Y66" s="4"/>
      <c r="Z66" s="4"/>
      <c r="AA66" s="53"/>
      <c r="AB66" s="4"/>
      <c r="AC66" s="4"/>
      <c r="AD66" s="53"/>
      <c r="AE66" s="4"/>
      <c r="AF66" s="4"/>
      <c r="AG66" s="53"/>
      <c r="AH66" s="4"/>
      <c r="AI66" s="4"/>
      <c r="AJ66" s="53"/>
      <c r="AK66" s="4"/>
      <c r="AL66" s="4"/>
      <c r="AM66" s="161"/>
      <c r="AN66" s="161"/>
      <c r="AO66" s="161"/>
      <c r="AP66" s="79"/>
      <c r="AQ66" s="79"/>
      <c r="AR66" s="79"/>
      <c r="AS66" s="4"/>
      <c r="AT66" s="4"/>
      <c r="AU66" s="4"/>
      <c r="AV66" s="4"/>
      <c r="AW66" s="4"/>
      <c r="AX66" s="4"/>
      <c r="AY66" s="4"/>
      <c r="AZ66" s="4"/>
      <c r="BA66" s="4"/>
      <c r="BB66" s="4"/>
      <c r="BC66" s="4"/>
      <c r="BD66" s="4"/>
      <c r="BE66" s="4"/>
      <c r="BF66" s="4"/>
      <c r="BG66" s="4"/>
      <c r="BH66" s="4"/>
      <c r="BI66" s="193"/>
      <c r="BJ66" s="193"/>
    </row>
    <row r="67" spans="1:62" hidden="1">
      <c r="A67" s="194"/>
      <c r="B67" s="194"/>
      <c r="C67" s="194"/>
      <c r="D67" s="194"/>
      <c r="E67" s="194"/>
      <c r="F67" s="194"/>
      <c r="G67" s="194"/>
      <c r="H67" s="194"/>
      <c r="I67" s="194"/>
      <c r="J67" s="194"/>
      <c r="K67" s="187"/>
      <c r="L67" s="187"/>
      <c r="M67" s="194"/>
      <c r="N67" s="277"/>
      <c r="O67" s="194"/>
      <c r="P67" s="138" t="s">
        <v>103</v>
      </c>
      <c r="Q67" s="32"/>
      <c r="R67" s="17"/>
      <c r="S67" s="4"/>
      <c r="T67" s="4"/>
      <c r="U67" s="160"/>
      <c r="V67" s="4"/>
      <c r="W67" s="4"/>
      <c r="X67" s="53"/>
      <c r="Y67" s="4"/>
      <c r="Z67" s="4"/>
      <c r="AA67" s="53"/>
      <c r="AB67" s="4"/>
      <c r="AC67" s="4"/>
      <c r="AD67" s="53"/>
      <c r="AE67" s="4"/>
      <c r="AF67" s="4"/>
      <c r="AG67" s="53"/>
      <c r="AH67" s="4"/>
      <c r="AI67" s="4"/>
      <c r="AJ67" s="53"/>
      <c r="AK67" s="4"/>
      <c r="AL67" s="4"/>
      <c r="AM67" s="161"/>
      <c r="AN67" s="161"/>
      <c r="AO67" s="161"/>
      <c r="AP67" s="79"/>
      <c r="AQ67" s="79"/>
      <c r="AR67" s="79"/>
      <c r="AS67" s="4"/>
      <c r="AT67" s="4"/>
      <c r="AU67" s="4"/>
      <c r="AV67" s="4"/>
      <c r="AW67" s="4"/>
      <c r="AX67" s="4"/>
      <c r="AY67" s="4"/>
      <c r="AZ67" s="4"/>
      <c r="BA67" s="4"/>
      <c r="BB67" s="4"/>
      <c r="BC67" s="4"/>
      <c r="BD67" s="4"/>
      <c r="BE67" s="4"/>
      <c r="BF67" s="4"/>
      <c r="BG67" s="4"/>
      <c r="BH67" s="4"/>
      <c r="BI67" s="193"/>
      <c r="BJ67" s="193"/>
    </row>
    <row r="68" spans="1:62" hidden="1">
      <c r="A68" s="194"/>
      <c r="B68" s="194"/>
      <c r="C68" s="194"/>
      <c r="D68" s="194"/>
      <c r="E68" s="194"/>
      <c r="F68" s="194"/>
      <c r="G68" s="194"/>
      <c r="H68" s="194"/>
      <c r="I68" s="194"/>
      <c r="J68" s="194"/>
      <c r="K68" s="187"/>
      <c r="L68" s="187"/>
      <c r="M68" s="194"/>
      <c r="N68" s="277"/>
      <c r="O68" s="194"/>
      <c r="P68" s="139"/>
      <c r="Q68" s="162"/>
      <c r="R68" s="163"/>
      <c r="S68" s="163"/>
      <c r="T68" s="163"/>
      <c r="U68" s="164"/>
      <c r="V68" s="4"/>
      <c r="W68" s="4"/>
      <c r="X68" s="53"/>
      <c r="Y68" s="4"/>
      <c r="Z68" s="4"/>
      <c r="AA68" s="53"/>
      <c r="AB68" s="4"/>
      <c r="AC68" s="4"/>
      <c r="AD68" s="53"/>
      <c r="AE68" s="4"/>
      <c r="AF68" s="4"/>
      <c r="AG68" s="53"/>
      <c r="AH68" s="4"/>
      <c r="AI68" s="4"/>
      <c r="AJ68" s="53"/>
      <c r="AK68" s="4"/>
      <c r="AL68" s="4"/>
      <c r="AM68" s="161"/>
      <c r="AN68" s="161"/>
      <c r="AO68" s="161"/>
      <c r="AP68" s="79"/>
      <c r="AQ68" s="79"/>
      <c r="AR68" s="79"/>
      <c r="AS68" s="4"/>
      <c r="AT68" s="4"/>
      <c r="AU68" s="4"/>
      <c r="AV68" s="4"/>
      <c r="AW68" s="4"/>
      <c r="AX68" s="4"/>
      <c r="AY68" s="4"/>
      <c r="AZ68" s="4"/>
      <c r="BA68" s="4"/>
      <c r="BB68" s="4"/>
      <c r="BC68" s="4"/>
      <c r="BD68" s="4"/>
      <c r="BE68" s="4"/>
      <c r="BF68" s="4"/>
      <c r="BG68" s="4"/>
      <c r="BH68" s="4"/>
      <c r="BI68" s="193"/>
      <c r="BJ68" s="193"/>
    </row>
    <row r="69" spans="1:62">
      <c r="A69" s="194"/>
      <c r="B69" s="194"/>
      <c r="C69" s="194"/>
      <c r="D69" s="194"/>
      <c r="E69" s="194"/>
      <c r="F69" s="194"/>
      <c r="G69" s="194"/>
      <c r="H69" s="194"/>
      <c r="I69" s="194"/>
      <c r="J69" s="194"/>
      <c r="K69" s="187"/>
      <c r="L69" s="187"/>
      <c r="M69" s="194"/>
      <c r="N69" s="194"/>
      <c r="O69" s="194"/>
      <c r="P69" s="194"/>
      <c r="Q69" s="213"/>
      <c r="R69" s="317"/>
      <c r="S69" s="317"/>
      <c r="T69" s="317"/>
      <c r="U69" s="317"/>
      <c r="V69" s="317"/>
      <c r="W69" s="317"/>
      <c r="X69" s="317"/>
      <c r="Y69" s="317"/>
      <c r="Z69" s="317"/>
      <c r="AA69" s="317"/>
      <c r="AB69" s="317"/>
      <c r="AC69" s="317"/>
      <c r="AD69" s="317"/>
      <c r="AE69" s="317"/>
      <c r="AF69" s="317"/>
      <c r="AG69" s="317"/>
      <c r="AH69" s="317"/>
      <c r="AI69" s="317"/>
      <c r="AJ69" s="317"/>
      <c r="AK69" s="317"/>
      <c r="AL69" s="317"/>
      <c r="AM69" s="206"/>
      <c r="AN69" s="206"/>
      <c r="AO69" s="206"/>
      <c r="AP69" s="366"/>
      <c r="AQ69" s="366"/>
      <c r="AR69" s="366"/>
      <c r="AS69" s="317"/>
      <c r="AT69" s="317"/>
      <c r="AU69" s="317"/>
      <c r="AV69" s="317"/>
      <c r="AW69" s="4"/>
      <c r="AX69" s="4"/>
      <c r="AY69" s="4"/>
      <c r="AZ69" s="4"/>
      <c r="BA69" s="4"/>
      <c r="BB69" s="4"/>
      <c r="BC69" s="4"/>
      <c r="BD69" s="4"/>
      <c r="BE69" s="4"/>
      <c r="BF69" s="4"/>
      <c r="BG69" s="4"/>
      <c r="BH69" s="4"/>
      <c r="BI69" s="193"/>
      <c r="BJ69" s="193"/>
    </row>
    <row r="70" spans="1:62">
      <c r="A70" s="194"/>
      <c r="B70" s="194"/>
      <c r="C70" s="194"/>
      <c r="D70" s="194"/>
      <c r="E70" s="194"/>
      <c r="F70" s="194"/>
      <c r="G70" s="194"/>
      <c r="H70" s="194"/>
      <c r="I70" s="194"/>
      <c r="J70" s="194"/>
      <c r="K70" s="187"/>
      <c r="L70" s="187"/>
      <c r="M70" s="194"/>
      <c r="N70" s="194"/>
      <c r="O70" s="194"/>
      <c r="P70" s="194"/>
      <c r="Q70" s="194"/>
      <c r="R70" s="193"/>
      <c r="S70" s="193"/>
      <c r="T70" s="193"/>
      <c r="U70" s="193"/>
      <c r="V70" s="193"/>
      <c r="W70" s="193"/>
      <c r="X70" s="193"/>
      <c r="Y70" s="193"/>
      <c r="Z70" s="193"/>
      <c r="AA70" s="193"/>
      <c r="AB70" s="193"/>
      <c r="AC70" s="193"/>
      <c r="AD70" s="193"/>
      <c r="AE70" s="193"/>
      <c r="AF70" s="193"/>
      <c r="AG70" s="193"/>
      <c r="AH70" s="193"/>
      <c r="AI70" s="193"/>
      <c r="AJ70" s="193"/>
      <c r="AK70" s="193"/>
      <c r="AL70" s="193"/>
      <c r="AM70" s="205"/>
      <c r="AN70" s="205"/>
      <c r="AO70" s="205"/>
      <c r="AP70" s="320"/>
      <c r="AQ70" s="320"/>
      <c r="AR70" s="320"/>
      <c r="AS70" s="193"/>
      <c r="AT70" s="193"/>
      <c r="AU70" s="193"/>
      <c r="AV70" s="193"/>
      <c r="BI70" s="193"/>
      <c r="BJ70" s="193"/>
    </row>
    <row r="71" spans="1:62">
      <c r="A71" s="194"/>
      <c r="B71" s="194"/>
      <c r="C71" s="194"/>
      <c r="D71" s="194"/>
      <c r="E71" s="194"/>
      <c r="F71" s="194"/>
      <c r="G71" s="194"/>
      <c r="H71" s="194"/>
      <c r="I71" s="194"/>
      <c r="J71" s="194"/>
      <c r="K71" s="187"/>
      <c r="L71" s="187"/>
      <c r="M71" s="194"/>
      <c r="N71" s="194"/>
      <c r="O71" s="194"/>
      <c r="P71" s="194"/>
      <c r="Q71" s="194"/>
      <c r="R71" s="193"/>
      <c r="S71" s="193"/>
      <c r="T71" s="193"/>
      <c r="U71" s="193"/>
      <c r="V71" s="193"/>
      <c r="W71" s="193"/>
      <c r="X71" s="193"/>
      <c r="Y71" s="193"/>
      <c r="Z71" s="193"/>
      <c r="AA71" s="193"/>
      <c r="AB71" s="193"/>
      <c r="AC71" s="193"/>
      <c r="AD71" s="193"/>
      <c r="AE71" s="193"/>
      <c r="AF71" s="193"/>
      <c r="AG71" s="193"/>
      <c r="AH71" s="193"/>
      <c r="AI71" s="193"/>
      <c r="AJ71" s="193"/>
      <c r="AK71" s="193"/>
      <c r="AL71" s="193"/>
      <c r="AM71" s="205"/>
      <c r="AN71" s="205"/>
      <c r="AO71" s="205"/>
      <c r="AP71" s="320"/>
      <c r="AQ71" s="320"/>
      <c r="AR71" s="320"/>
      <c r="AS71" s="193"/>
      <c r="AT71" s="193"/>
      <c r="AU71" s="193"/>
      <c r="AV71" s="193"/>
      <c r="BI71" s="193"/>
      <c r="BJ71" s="193"/>
    </row>
    <row r="72" spans="1:62">
      <c r="A72" s="194"/>
      <c r="B72" s="194"/>
      <c r="C72" s="194"/>
      <c r="D72" s="194"/>
      <c r="E72" s="194"/>
      <c r="F72" s="194"/>
      <c r="G72" s="194"/>
      <c r="H72" s="194"/>
      <c r="I72" s="194"/>
      <c r="J72" s="194"/>
      <c r="K72" s="187"/>
      <c r="L72" s="187"/>
      <c r="M72" s="194"/>
      <c r="N72" s="194"/>
      <c r="O72" s="194"/>
      <c r="P72" s="320"/>
      <c r="Q72" s="367"/>
      <c r="R72" s="205"/>
      <c r="S72" s="205"/>
      <c r="T72" s="205"/>
      <c r="U72" s="205"/>
      <c r="V72" s="205"/>
      <c r="W72" s="205"/>
      <c r="X72" s="205"/>
      <c r="Y72" s="193"/>
      <c r="Z72" s="193"/>
      <c r="AA72" s="193"/>
      <c r="AB72" s="193"/>
      <c r="AC72" s="193"/>
      <c r="AD72" s="193"/>
      <c r="AE72" s="193"/>
      <c r="AF72" s="193"/>
      <c r="AG72" s="193"/>
      <c r="AH72" s="193"/>
      <c r="AI72" s="193"/>
      <c r="AJ72" s="193"/>
      <c r="AK72" s="193"/>
      <c r="AL72" s="193"/>
      <c r="AM72" s="205"/>
      <c r="AN72" s="205"/>
      <c r="AO72" s="205"/>
      <c r="AP72" s="320"/>
      <c r="AQ72" s="320"/>
      <c r="AR72" s="320"/>
      <c r="AS72" s="193"/>
      <c r="AT72" s="193"/>
      <c r="AU72" s="193"/>
      <c r="AV72" s="193"/>
      <c r="BI72" s="193"/>
      <c r="BJ72" s="193"/>
    </row>
    <row r="73" spans="1:62">
      <c r="A73" s="194"/>
      <c r="B73" s="194"/>
      <c r="C73" s="194"/>
      <c r="D73" s="194"/>
      <c r="E73" s="194"/>
      <c r="F73" s="194"/>
      <c r="G73" s="194"/>
      <c r="H73" s="194"/>
      <c r="I73" s="194"/>
      <c r="J73" s="194"/>
      <c r="K73" s="187"/>
      <c r="L73" s="187"/>
      <c r="M73" s="194"/>
      <c r="N73" s="194"/>
      <c r="O73" s="194"/>
      <c r="P73" s="320"/>
      <c r="Q73" s="367"/>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320"/>
      <c r="AQ73" s="320"/>
      <c r="AR73" s="320"/>
      <c r="AS73" s="193"/>
      <c r="AT73" s="193"/>
      <c r="AU73" s="193"/>
      <c r="AV73" s="193"/>
      <c r="BI73" s="193"/>
      <c r="BJ73" s="193"/>
    </row>
    <row r="74" spans="1:62">
      <c r="A74" s="194"/>
      <c r="B74" s="194"/>
      <c r="C74" s="194"/>
      <c r="D74" s="194"/>
      <c r="E74" s="194"/>
      <c r="F74" s="194"/>
      <c r="G74" s="194"/>
      <c r="H74" s="194"/>
      <c r="I74" s="194"/>
      <c r="J74" s="194"/>
      <c r="K74" s="187"/>
      <c r="L74" s="187"/>
      <c r="M74" s="194"/>
      <c r="N74" s="194"/>
      <c r="O74" s="194"/>
      <c r="P74" s="320"/>
      <c r="Q74" s="367"/>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320"/>
      <c r="AQ74" s="320"/>
      <c r="AR74" s="320"/>
      <c r="AS74" s="193"/>
      <c r="AT74" s="193"/>
      <c r="AU74" s="193"/>
      <c r="AV74" s="193"/>
      <c r="BI74" s="193"/>
      <c r="BJ74" s="193"/>
    </row>
    <row r="75" spans="1:62">
      <c r="A75" s="194"/>
      <c r="B75" s="194"/>
      <c r="C75" s="194"/>
      <c r="D75" s="194"/>
      <c r="E75" s="194"/>
      <c r="F75" s="194"/>
      <c r="G75" s="194"/>
      <c r="H75" s="194"/>
      <c r="I75" s="194"/>
      <c r="J75" s="194"/>
      <c r="K75" s="187"/>
      <c r="L75" s="187"/>
      <c r="M75" s="194"/>
      <c r="N75" s="194"/>
      <c r="O75" s="194"/>
      <c r="P75" s="320"/>
      <c r="Q75" s="367"/>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320"/>
      <c r="AQ75" s="320"/>
      <c r="AR75" s="320"/>
      <c r="AS75" s="193"/>
      <c r="AT75" s="193"/>
      <c r="AU75" s="193"/>
      <c r="AV75" s="193"/>
      <c r="BI75" s="193"/>
      <c r="BJ75" s="193"/>
    </row>
    <row r="76" spans="1:62">
      <c r="A76" s="194"/>
      <c r="B76" s="194"/>
      <c r="C76" s="194"/>
      <c r="D76" s="194"/>
      <c r="E76" s="194"/>
      <c r="F76" s="194"/>
      <c r="G76" s="194"/>
      <c r="H76" s="194"/>
      <c r="I76" s="194"/>
      <c r="J76" s="194"/>
      <c r="K76" s="187"/>
      <c r="L76" s="187"/>
      <c r="M76" s="194"/>
      <c r="N76" s="194"/>
      <c r="O76" s="194"/>
      <c r="P76" s="320"/>
      <c r="Q76" s="367"/>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320"/>
      <c r="AQ76" s="320"/>
      <c r="AR76" s="320"/>
      <c r="AS76" s="193"/>
      <c r="AT76" s="193"/>
      <c r="AU76" s="193"/>
      <c r="AV76" s="193"/>
      <c r="BI76" s="193"/>
      <c r="BJ76" s="193"/>
    </row>
    <row r="77" spans="1:62">
      <c r="A77" s="194"/>
      <c r="B77" s="194"/>
      <c r="C77" s="194"/>
      <c r="D77" s="194"/>
      <c r="E77" s="194"/>
      <c r="F77" s="194"/>
      <c r="G77" s="194"/>
      <c r="H77" s="194"/>
      <c r="I77" s="194"/>
      <c r="J77" s="194"/>
      <c r="K77" s="187"/>
      <c r="L77" s="187"/>
      <c r="M77" s="194"/>
      <c r="N77" s="194"/>
      <c r="O77" s="194"/>
      <c r="P77" s="320"/>
      <c r="Q77" s="367"/>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320"/>
      <c r="AQ77" s="320"/>
      <c r="AR77" s="320"/>
      <c r="AS77" s="193"/>
      <c r="AT77" s="193"/>
      <c r="AU77" s="193"/>
      <c r="AV77" s="193"/>
      <c r="BI77" s="193"/>
      <c r="BJ77" s="193"/>
    </row>
    <row r="78" spans="1:62">
      <c r="A78" s="194"/>
      <c r="B78" s="194"/>
      <c r="C78" s="194"/>
      <c r="D78" s="194"/>
      <c r="E78" s="194"/>
      <c r="F78" s="194"/>
      <c r="G78" s="194"/>
      <c r="H78" s="194"/>
      <c r="I78" s="194"/>
      <c r="J78" s="194"/>
      <c r="K78" s="187"/>
      <c r="L78" s="187"/>
      <c r="M78" s="194"/>
      <c r="N78" s="194"/>
      <c r="O78" s="194"/>
      <c r="P78" s="320"/>
      <c r="Q78" s="367"/>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320"/>
      <c r="AQ78" s="320"/>
      <c r="AR78" s="320"/>
      <c r="AS78" s="193"/>
      <c r="AT78" s="193"/>
      <c r="AU78" s="193"/>
      <c r="AV78" s="193"/>
      <c r="BI78" s="193"/>
      <c r="BJ78" s="193"/>
    </row>
    <row r="79" spans="1:62">
      <c r="A79" s="194"/>
      <c r="B79" s="194"/>
      <c r="C79" s="194"/>
      <c r="D79" s="194"/>
      <c r="E79" s="194"/>
      <c r="F79" s="194"/>
      <c r="G79" s="194"/>
      <c r="H79" s="194"/>
      <c r="I79" s="194"/>
      <c r="J79" s="194"/>
      <c r="K79" s="187"/>
      <c r="L79" s="187"/>
      <c r="M79" s="194"/>
      <c r="N79" s="194"/>
      <c r="O79" s="194"/>
      <c r="P79" s="320"/>
      <c r="Q79" s="367"/>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320"/>
      <c r="AQ79" s="320"/>
      <c r="AR79" s="320"/>
      <c r="AS79" s="193"/>
      <c r="AT79" s="193"/>
      <c r="AU79" s="193"/>
      <c r="AV79" s="193"/>
      <c r="BI79" s="193"/>
      <c r="BJ79" s="193"/>
    </row>
    <row r="80" spans="1:62">
      <c r="A80" s="194"/>
      <c r="B80" s="194"/>
      <c r="C80" s="194"/>
      <c r="D80" s="194"/>
      <c r="E80" s="194"/>
      <c r="F80" s="194"/>
      <c r="G80" s="194"/>
      <c r="H80" s="194"/>
      <c r="I80" s="194"/>
      <c r="J80" s="194"/>
      <c r="K80" s="187"/>
      <c r="L80" s="187"/>
      <c r="M80" s="194"/>
      <c r="N80" s="194"/>
      <c r="O80" s="194"/>
      <c r="P80" s="320"/>
      <c r="Q80" s="367"/>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320"/>
      <c r="AQ80" s="320"/>
      <c r="AR80" s="320"/>
      <c r="AS80" s="193"/>
      <c r="AT80" s="193"/>
      <c r="AU80" s="193"/>
      <c r="AV80" s="193"/>
      <c r="BI80" s="193"/>
      <c r="BJ80" s="193"/>
    </row>
    <row r="81" spans="1:62">
      <c r="A81" s="194"/>
      <c r="B81" s="194"/>
      <c r="C81" s="194"/>
      <c r="D81" s="194"/>
      <c r="E81" s="194"/>
      <c r="F81" s="194"/>
      <c r="G81" s="194"/>
      <c r="H81" s="194"/>
      <c r="I81" s="194"/>
      <c r="J81" s="194"/>
      <c r="K81" s="187"/>
      <c r="L81" s="187"/>
      <c r="M81" s="194"/>
      <c r="N81" s="194"/>
      <c r="O81" s="194"/>
      <c r="P81" s="320"/>
      <c r="Q81" s="367"/>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320"/>
      <c r="AQ81" s="320"/>
      <c r="AR81" s="320"/>
      <c r="AS81" s="193"/>
      <c r="AT81" s="193"/>
      <c r="AU81" s="193"/>
      <c r="AV81" s="193"/>
      <c r="BI81" s="193"/>
      <c r="BJ81" s="193"/>
    </row>
    <row r="82" spans="1:62">
      <c r="A82" s="194"/>
      <c r="B82" s="194"/>
      <c r="C82" s="194"/>
      <c r="D82" s="194"/>
      <c r="E82" s="194"/>
      <c r="F82" s="194"/>
      <c r="G82" s="194"/>
      <c r="H82" s="194"/>
      <c r="I82" s="194"/>
      <c r="J82" s="194"/>
      <c r="K82" s="187"/>
      <c r="L82" s="187"/>
      <c r="M82" s="194"/>
      <c r="N82" s="194"/>
      <c r="O82" s="194"/>
      <c r="P82" s="320"/>
      <c r="Q82" s="367"/>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320"/>
      <c r="AQ82" s="320"/>
      <c r="AR82" s="320"/>
      <c r="AS82" s="193"/>
      <c r="AT82" s="193"/>
      <c r="AU82" s="193"/>
      <c r="AV82" s="193"/>
      <c r="BI82" s="193"/>
      <c r="BJ82" s="193"/>
    </row>
    <row r="83" spans="1:62">
      <c r="A83" s="194"/>
      <c r="B83" s="194"/>
      <c r="C83" s="194"/>
      <c r="D83" s="194"/>
      <c r="E83" s="194"/>
      <c r="F83" s="194"/>
      <c r="G83" s="194"/>
      <c r="H83" s="194"/>
      <c r="I83" s="194"/>
      <c r="J83" s="194"/>
      <c r="K83" s="187"/>
      <c r="L83" s="187"/>
      <c r="M83" s="194"/>
      <c r="N83" s="194"/>
      <c r="O83" s="194"/>
      <c r="P83" s="320"/>
      <c r="Q83" s="367"/>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320"/>
      <c r="AQ83" s="320"/>
      <c r="AR83" s="320"/>
      <c r="AS83" s="193"/>
      <c r="AT83" s="193"/>
      <c r="AU83" s="193"/>
      <c r="AV83" s="193"/>
      <c r="BI83" s="193"/>
      <c r="BJ83" s="193"/>
    </row>
    <row r="84" spans="1:62">
      <c r="A84" s="194"/>
      <c r="B84" s="194"/>
      <c r="C84" s="194"/>
      <c r="D84" s="194"/>
      <c r="E84" s="194"/>
      <c r="F84" s="194"/>
      <c r="G84" s="194"/>
      <c r="H84" s="194"/>
      <c r="I84" s="194"/>
      <c r="J84" s="194"/>
      <c r="K84" s="187"/>
      <c r="L84" s="187"/>
      <c r="M84" s="194"/>
      <c r="N84" s="194"/>
      <c r="O84" s="194"/>
      <c r="P84" s="320"/>
      <c r="Q84" s="367"/>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320"/>
      <c r="AQ84" s="320"/>
      <c r="AR84" s="320"/>
      <c r="AS84" s="193"/>
      <c r="AT84" s="193"/>
      <c r="AU84" s="193"/>
      <c r="AV84" s="193"/>
      <c r="BI84" s="193"/>
      <c r="BJ84" s="193"/>
    </row>
    <row r="85" spans="1:62">
      <c r="A85" s="194"/>
      <c r="B85" s="194"/>
      <c r="C85" s="194"/>
      <c r="D85" s="194"/>
      <c r="E85" s="194"/>
      <c r="F85" s="194"/>
      <c r="G85" s="194"/>
      <c r="H85" s="194"/>
      <c r="I85" s="194"/>
      <c r="J85" s="194"/>
      <c r="K85" s="187"/>
      <c r="L85" s="187"/>
      <c r="M85" s="194"/>
      <c r="N85" s="194"/>
      <c r="O85" s="194"/>
      <c r="P85" s="320"/>
      <c r="Q85" s="367"/>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320"/>
      <c r="AQ85" s="320"/>
      <c r="AR85" s="320"/>
      <c r="AS85" s="193"/>
      <c r="AT85" s="193"/>
      <c r="AU85" s="193"/>
      <c r="AV85" s="193"/>
      <c r="BI85" s="193"/>
      <c r="BJ85" s="193"/>
    </row>
    <row r="86" spans="1:62">
      <c r="A86" s="194"/>
      <c r="B86" s="194"/>
      <c r="C86" s="194"/>
      <c r="D86" s="194"/>
      <c r="E86" s="194"/>
      <c r="F86" s="194"/>
      <c r="G86" s="194"/>
      <c r="H86" s="194"/>
      <c r="I86" s="194"/>
      <c r="J86" s="194"/>
      <c r="K86" s="187"/>
      <c r="L86" s="187"/>
      <c r="M86" s="194"/>
      <c r="N86" s="194"/>
      <c r="O86" s="194"/>
      <c r="P86" s="320"/>
      <c r="Q86" s="367"/>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320"/>
      <c r="AQ86" s="320"/>
      <c r="AR86" s="320"/>
      <c r="AS86" s="193"/>
      <c r="AT86" s="193"/>
      <c r="AU86" s="193"/>
      <c r="AV86" s="193"/>
      <c r="BI86" s="193"/>
      <c r="BJ86" s="193"/>
    </row>
    <row r="87" spans="1:62">
      <c r="A87" s="193"/>
      <c r="B87" s="205"/>
      <c r="C87" s="205"/>
      <c r="D87" s="320"/>
      <c r="E87" s="320"/>
      <c r="F87" s="320"/>
      <c r="G87" s="320"/>
      <c r="H87" s="320"/>
      <c r="I87" s="320"/>
      <c r="J87" s="320"/>
      <c r="K87" s="14"/>
      <c r="L87" s="14"/>
      <c r="M87" s="320"/>
      <c r="N87" s="320"/>
      <c r="O87" s="320"/>
      <c r="P87" s="320"/>
      <c r="Q87" s="367"/>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320"/>
      <c r="AQ87" s="320"/>
      <c r="AR87" s="320"/>
      <c r="AS87" s="193"/>
      <c r="AT87" s="193"/>
      <c r="AU87" s="193"/>
      <c r="AV87" s="193"/>
      <c r="BI87" s="193"/>
      <c r="BJ87" s="193"/>
    </row>
    <row r="88" spans="1:62">
      <c r="A88" s="193"/>
      <c r="B88" s="205"/>
      <c r="C88" s="205"/>
      <c r="D88" s="320"/>
      <c r="E88" s="320"/>
      <c r="F88" s="320"/>
      <c r="G88" s="320"/>
      <c r="H88" s="320"/>
      <c r="I88" s="320"/>
      <c r="J88" s="320"/>
      <c r="K88" s="14"/>
      <c r="L88" s="14"/>
      <c r="M88" s="320"/>
      <c r="N88" s="320"/>
      <c r="O88" s="320"/>
      <c r="P88" s="320"/>
      <c r="Q88" s="367"/>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320"/>
      <c r="AQ88" s="320"/>
      <c r="AR88" s="320"/>
      <c r="AS88" s="193"/>
      <c r="AT88" s="193"/>
      <c r="AU88" s="193"/>
      <c r="AV88" s="193"/>
      <c r="BI88" s="193"/>
      <c r="BJ88" s="193"/>
    </row>
    <row r="89" spans="1:62">
      <c r="A89" s="193"/>
      <c r="B89" s="205"/>
      <c r="C89" s="205"/>
      <c r="D89" s="320"/>
      <c r="E89" s="320"/>
      <c r="F89" s="320"/>
      <c r="G89" s="320"/>
      <c r="H89" s="320"/>
      <c r="I89" s="320"/>
      <c r="J89" s="320"/>
      <c r="K89" s="14"/>
      <c r="L89" s="14"/>
      <c r="M89" s="320"/>
      <c r="N89" s="320"/>
      <c r="O89" s="320"/>
      <c r="P89" s="320"/>
      <c r="Q89" s="367"/>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320"/>
      <c r="AQ89" s="320"/>
      <c r="AR89" s="320"/>
      <c r="AS89" s="193"/>
      <c r="AT89" s="193"/>
      <c r="AU89" s="193"/>
      <c r="AV89" s="193"/>
      <c r="BI89" s="193"/>
      <c r="BJ89" s="193"/>
    </row>
    <row r="90" spans="1:62">
      <c r="A90" s="193"/>
      <c r="B90" s="5"/>
      <c r="C90" s="5"/>
      <c r="D90" s="6"/>
      <c r="E90" s="6"/>
      <c r="F90" s="6"/>
      <c r="G90" s="6"/>
      <c r="H90" s="6"/>
      <c r="Q90" s="8"/>
      <c r="R90" s="5"/>
      <c r="S90" s="5"/>
      <c r="T90" s="5"/>
      <c r="U90" s="5"/>
      <c r="V90" s="5"/>
      <c r="W90" s="5"/>
      <c r="X90" s="20"/>
      <c r="Y90" s="5"/>
      <c r="Z90" s="5"/>
      <c r="AA90" s="20"/>
      <c r="AB90" s="5"/>
      <c r="AC90" s="5"/>
      <c r="AD90" s="20"/>
      <c r="AE90" s="5"/>
      <c r="AF90" s="5"/>
      <c r="AG90" s="20"/>
      <c r="AH90" s="5"/>
      <c r="AI90" s="5"/>
      <c r="AJ90" s="20"/>
      <c r="AK90" s="5"/>
      <c r="AL90" s="5"/>
      <c r="AM90" s="5"/>
      <c r="AN90" s="5"/>
      <c r="AO90" s="5"/>
      <c r="AP90" s="6"/>
      <c r="AQ90" s="6"/>
      <c r="AR90" s="6"/>
    </row>
    <row r="91" spans="1:62">
      <c r="B91" s="5"/>
      <c r="C91" s="5"/>
      <c r="D91" s="6"/>
      <c r="E91" s="6"/>
      <c r="F91" s="6"/>
      <c r="G91" s="6"/>
      <c r="H91" s="6"/>
      <c r="I91" s="14"/>
      <c r="J91" s="14"/>
      <c r="K91" s="14"/>
      <c r="L91" s="14"/>
      <c r="M91" s="14"/>
      <c r="N91" s="14"/>
      <c r="O91" s="14"/>
      <c r="P91" s="14"/>
      <c r="Q91" s="16"/>
      <c r="R91" s="14"/>
      <c r="S91" s="5"/>
      <c r="T91" s="5"/>
      <c r="U91" s="5"/>
      <c r="V91" s="5"/>
      <c r="W91" s="5"/>
      <c r="X91" s="20"/>
      <c r="Y91" s="5"/>
      <c r="Z91" s="5"/>
      <c r="AA91" s="20"/>
      <c r="AB91" s="5"/>
      <c r="AC91" s="5"/>
      <c r="AD91" s="20"/>
      <c r="AE91" s="5"/>
      <c r="AF91" s="5"/>
      <c r="AG91" s="20"/>
      <c r="AH91" s="5"/>
      <c r="AI91" s="5"/>
      <c r="AJ91" s="20"/>
      <c r="AK91" s="5"/>
      <c r="AL91" s="5"/>
      <c r="AM91" s="5"/>
      <c r="AN91" s="5"/>
      <c r="AO91" s="5"/>
      <c r="AP91" s="6"/>
      <c r="AQ91" s="6"/>
      <c r="AR91" s="6"/>
    </row>
    <row r="92" spans="1:62">
      <c r="B92" s="9"/>
      <c r="C92" s="9"/>
      <c r="D92" s="10"/>
      <c r="E92" s="10"/>
      <c r="F92" s="10"/>
      <c r="G92" s="10"/>
      <c r="H92" s="10"/>
      <c r="I92" s="22"/>
      <c r="J92" s="22"/>
      <c r="K92" s="22"/>
      <c r="L92" s="22"/>
      <c r="M92" s="22"/>
      <c r="N92" s="22"/>
      <c r="O92" s="22"/>
      <c r="P92" s="22"/>
      <c r="Q92" s="12"/>
      <c r="R92" s="9"/>
      <c r="S92" s="9"/>
      <c r="T92" s="9"/>
      <c r="U92" s="9"/>
      <c r="V92" s="9"/>
      <c r="W92" s="9"/>
      <c r="X92" s="21"/>
      <c r="Y92" s="9"/>
      <c r="Z92" s="9"/>
      <c r="AA92" s="21"/>
      <c r="AB92" s="9"/>
      <c r="AC92" s="9"/>
      <c r="AD92" s="21"/>
      <c r="AE92" s="9"/>
      <c r="AF92" s="9"/>
      <c r="AG92" s="21"/>
      <c r="AH92" s="9"/>
      <c r="AI92" s="9"/>
      <c r="AJ92" s="21"/>
      <c r="AK92" s="9"/>
      <c r="AL92" s="9"/>
    </row>
    <row r="93" spans="1:62">
      <c r="B93" s="9"/>
      <c r="C93" s="9"/>
      <c r="D93" s="10"/>
      <c r="E93" s="10"/>
      <c r="F93" s="10"/>
      <c r="G93" s="10"/>
      <c r="H93" s="10"/>
      <c r="I93" s="22"/>
      <c r="J93" s="22"/>
      <c r="K93" s="22"/>
      <c r="L93" s="22"/>
      <c r="M93" s="22"/>
      <c r="N93" s="22"/>
      <c r="O93" s="22"/>
      <c r="P93" s="22"/>
      <c r="Q93" s="12"/>
      <c r="R93" s="9"/>
      <c r="S93" s="9"/>
      <c r="T93" s="9"/>
      <c r="U93" s="9"/>
      <c r="V93" s="9"/>
      <c r="W93" s="9"/>
      <c r="X93" s="21"/>
      <c r="Y93" s="9"/>
      <c r="Z93" s="9"/>
      <c r="AA93" s="21"/>
      <c r="AB93" s="9"/>
      <c r="AC93" s="9"/>
      <c r="AD93" s="21"/>
      <c r="AE93" s="9"/>
      <c r="AF93" s="9"/>
      <c r="AG93" s="21"/>
      <c r="AH93" s="9"/>
      <c r="AI93" s="9"/>
      <c r="AJ93" s="21"/>
      <c r="AK93" s="9"/>
      <c r="AL93" s="9"/>
    </row>
    <row r="94" spans="1:62">
      <c r="B94" s="9"/>
      <c r="C94" s="9"/>
      <c r="D94" s="10"/>
      <c r="E94" s="10"/>
      <c r="F94" s="10"/>
      <c r="G94" s="10"/>
      <c r="H94" s="10"/>
      <c r="I94" s="22"/>
      <c r="J94" s="22"/>
      <c r="K94" s="22"/>
      <c r="L94" s="22"/>
      <c r="M94" s="22"/>
      <c r="N94" s="22"/>
      <c r="O94" s="22"/>
      <c r="P94" s="22"/>
      <c r="Q94" s="12"/>
      <c r="R94" s="9"/>
      <c r="S94" s="9"/>
      <c r="T94" s="9"/>
      <c r="U94" s="9"/>
      <c r="V94" s="9"/>
      <c r="W94" s="9"/>
      <c r="X94" s="21"/>
      <c r="Y94" s="9"/>
      <c r="Z94" s="9"/>
      <c r="AA94" s="21"/>
      <c r="AB94" s="9"/>
      <c r="AC94" s="9"/>
      <c r="AD94" s="21"/>
      <c r="AE94" s="9"/>
      <c r="AF94" s="9"/>
      <c r="AG94" s="21"/>
      <c r="AH94" s="9"/>
      <c r="AI94" s="9"/>
      <c r="AJ94" s="21"/>
      <c r="AK94" s="9"/>
      <c r="AL94" s="9"/>
    </row>
  </sheetData>
  <mergeCells count="36">
    <mergeCell ref="AE2:AF2"/>
    <mergeCell ref="T57:BF57"/>
    <mergeCell ref="T58:BF58"/>
    <mergeCell ref="T59:BF59"/>
    <mergeCell ref="T60:BF60"/>
    <mergeCell ref="AX3:BC3"/>
    <mergeCell ref="AE22:AF22"/>
    <mergeCell ref="AH22:AI22"/>
    <mergeCell ref="AK22:AL22"/>
    <mergeCell ref="D36:E36"/>
    <mergeCell ref="D24:E24"/>
    <mergeCell ref="D26:E26"/>
    <mergeCell ref="D28:E28"/>
    <mergeCell ref="Y22:Z22"/>
    <mergeCell ref="D50:E50"/>
    <mergeCell ref="T56:BC56"/>
    <mergeCell ref="D38:E38"/>
    <mergeCell ref="D40:E40"/>
    <mergeCell ref="D42:E42"/>
    <mergeCell ref="D44:E44"/>
    <mergeCell ref="D46:E46"/>
    <mergeCell ref="D48:E48"/>
    <mergeCell ref="BX32:BY32"/>
    <mergeCell ref="D34:E34"/>
    <mergeCell ref="D32:E32"/>
    <mergeCell ref="BL32:BM32"/>
    <mergeCell ref="D16:E16"/>
    <mergeCell ref="D30:E30"/>
    <mergeCell ref="AB22:AC22"/>
    <mergeCell ref="BF22:BG22"/>
    <mergeCell ref="BC22:BD22"/>
    <mergeCell ref="AZ22:BA22"/>
    <mergeCell ref="BU32:BV32"/>
    <mergeCell ref="BR32:BS32"/>
    <mergeCell ref="BO32:BP32"/>
    <mergeCell ref="AW21:BH21"/>
  </mergeCells>
  <conditionalFormatting sqref="AC15">
    <cfRule type="cellIs" dxfId="13" priority="13" operator="lessThanOrEqual">
      <formula>35</formula>
    </cfRule>
  </conditionalFormatting>
  <conditionalFormatting sqref="BV10">
    <cfRule type="colorScale" priority="28">
      <colorScale>
        <cfvo type="num" val="-0.5"/>
        <cfvo type="percent" val="0"/>
        <cfvo type="num" val="0.5"/>
        <color rgb="FFFF0000"/>
        <color theme="7" tint="0.59999389629810485"/>
        <color rgb="FFF57B17"/>
      </colorScale>
    </cfRule>
    <cfRule type="colorScale" priority="29">
      <colorScale>
        <cfvo type="min"/>
        <cfvo type="percentile" val="50"/>
        <cfvo type="max"/>
        <color rgb="FFFF0000"/>
        <color theme="0"/>
        <color rgb="FFF57B17"/>
      </colorScale>
    </cfRule>
  </conditionalFormatting>
  <conditionalFormatting sqref="AF17">
    <cfRule type="colorScale" priority="27">
      <colorScale>
        <cfvo type="num" val="37"/>
        <cfvo type="num" val="37"/>
        <color theme="0"/>
        <color rgb="FFFF0000"/>
      </colorScale>
    </cfRule>
  </conditionalFormatting>
  <conditionalFormatting sqref="AI17">
    <cfRule type="colorScale" priority="26">
      <colorScale>
        <cfvo type="num" val="30"/>
        <cfvo type="num" val="30"/>
        <color theme="0"/>
        <color rgb="FFFF0000"/>
      </colorScale>
    </cfRule>
  </conditionalFormatting>
  <conditionalFormatting sqref="BX10">
    <cfRule type="colorScale" priority="24">
      <colorScale>
        <cfvo type="num" val="-0.5"/>
        <cfvo type="percent" val="0"/>
        <cfvo type="num" val="0.5"/>
        <color rgb="FFFF0000"/>
        <color theme="7" tint="0.59999389629810485"/>
        <color rgb="FFF57B17"/>
      </colorScale>
    </cfRule>
    <cfRule type="colorScale" priority="25">
      <colorScale>
        <cfvo type="min"/>
        <cfvo type="percentile" val="50"/>
        <cfvo type="max"/>
        <color rgb="FFFF0000"/>
        <color theme="0"/>
        <color rgb="FFF57B17"/>
      </colorScale>
    </cfRule>
  </conditionalFormatting>
  <conditionalFormatting sqref="AF15">
    <cfRule type="cellIs" dxfId="12" priority="11" operator="greaterThanOrEqual">
      <formula>38</formula>
    </cfRule>
  </conditionalFormatting>
  <conditionalFormatting sqref="Z17">
    <cfRule type="colorScale" priority="23">
      <colorScale>
        <cfvo type="num" val="$Z$13"/>
        <cfvo type="percentile" val="50"/>
        <cfvo type="num" val="30"/>
        <color rgb="FFFF0000"/>
        <color theme="0"/>
        <color rgb="FFFFC000"/>
      </colorScale>
    </cfRule>
  </conditionalFormatting>
  <conditionalFormatting sqref="T15">
    <cfRule type="cellIs" dxfId="11" priority="21" operator="lessThan">
      <formula>$T$13-0.5</formula>
    </cfRule>
    <cfRule type="cellIs" dxfId="10" priority="22" operator="greaterThan">
      <formula>$T$13+0.5</formula>
    </cfRule>
  </conditionalFormatting>
  <conditionalFormatting sqref="T17">
    <cfRule type="cellIs" dxfId="9" priority="19" operator="lessThan">
      <formula>$T$13-0.5</formula>
    </cfRule>
    <cfRule type="cellIs" dxfId="8" priority="20" operator="greaterThan">
      <formula>$T$13+0.5</formula>
    </cfRule>
  </conditionalFormatting>
  <conditionalFormatting sqref="V15">
    <cfRule type="cellIs" dxfId="7" priority="17" operator="lessThan">
      <formula>$V$13-(0.5*$U$13)</formula>
    </cfRule>
    <cfRule type="cellIs" dxfId="6" priority="18" operator="greaterThan">
      <formula>$V$13+(0.5*$U$13)</formula>
    </cfRule>
  </conditionalFormatting>
  <conditionalFormatting sqref="W17">
    <cfRule type="cellIs" dxfId="5" priority="15" operator="lessThan">
      <formula>$W$13-(0.5*$U$13)</formula>
    </cfRule>
    <cfRule type="cellIs" dxfId="4" priority="16" operator="greaterThan">
      <formula>$W$13+(0.5*$U$13)</formula>
    </cfRule>
  </conditionalFormatting>
  <conditionalFormatting sqref="Z15">
    <cfRule type="colorScale" priority="14">
      <colorScale>
        <cfvo type="num" val="$Z$13"/>
        <cfvo type="percentile" val="50"/>
        <cfvo type="num" val="30"/>
        <color rgb="FFFF0000"/>
        <color theme="0"/>
        <color rgb="FFFFC000"/>
      </colorScale>
    </cfRule>
  </conditionalFormatting>
  <conditionalFormatting sqref="AC17">
    <cfRule type="cellIs" dxfId="3" priority="12" operator="lessThanOrEqual">
      <formula>35</formula>
    </cfRule>
  </conditionalFormatting>
  <conditionalFormatting sqref="AI15">
    <cfRule type="cellIs" dxfId="2" priority="10" operator="greaterThanOrEqual">
      <formula>30</formula>
    </cfRule>
  </conditionalFormatting>
  <conditionalFormatting sqref="AL15">
    <cfRule type="cellIs" dxfId="1" priority="9" operator="greaterThanOrEqual">
      <formula>6</formula>
    </cfRule>
  </conditionalFormatting>
  <conditionalFormatting sqref="AL17">
    <cfRule type="cellIs" dxfId="0" priority="8" operator="greaterThanOrEqual">
      <formula>6</formula>
    </cfRule>
  </conditionalFormatting>
  <conditionalFormatting sqref="AZ52">
    <cfRule type="colorScale" priority="7">
      <colorScale>
        <cfvo type="num" val="35"/>
        <cfvo type="num" val="35"/>
        <color rgb="FFFF0000"/>
        <color theme="2" tint="-9.9978637043366805E-2"/>
      </colorScale>
    </cfRule>
  </conditionalFormatting>
  <conditionalFormatting sqref="AZ53">
    <cfRule type="colorScale" priority="6">
      <colorScale>
        <cfvo type="num" val="35"/>
        <cfvo type="num" val="35"/>
        <color rgb="FFFF0000"/>
        <color theme="2" tint="-9.9978637043366805E-2"/>
      </colorScale>
    </cfRule>
  </conditionalFormatting>
  <conditionalFormatting sqref="BC52">
    <cfRule type="colorScale" priority="5">
      <colorScale>
        <cfvo type="num" val="32"/>
        <cfvo type="num" val="32"/>
        <color rgb="FFFF0000"/>
        <color theme="2" tint="-9.9978637043366805E-2"/>
      </colorScale>
    </cfRule>
  </conditionalFormatting>
  <conditionalFormatting sqref="BC53">
    <cfRule type="colorScale" priority="4">
      <colorScale>
        <cfvo type="num" val="32"/>
        <cfvo type="num" val="32"/>
        <color rgb="FFFF0000"/>
        <color theme="2" tint="-9.9978637043366805E-2"/>
      </colorScale>
    </cfRule>
  </conditionalFormatting>
  <conditionalFormatting sqref="BF52">
    <cfRule type="colorScale" priority="3">
      <colorScale>
        <cfvo type="num" val="65"/>
        <cfvo type="num" val="65"/>
        <color theme="2" tint="-9.9978637043366805E-2"/>
        <color rgb="FFFF0000"/>
      </colorScale>
    </cfRule>
  </conditionalFormatting>
  <conditionalFormatting sqref="BF53">
    <cfRule type="colorScale" priority="2">
      <colorScale>
        <cfvo type="num" val="65"/>
        <cfvo type="num" val="65"/>
        <color theme="2" tint="-9.9978637043366805E-2"/>
        <color rgb="FFFF0000"/>
      </colorScale>
    </cfRule>
  </conditionalFormatting>
  <dataValidations count="7">
    <dataValidation allowBlank="1" showErrorMessage="1" sqref="AR51:AR52 AP52 AR53:AS53 AS52" xr:uid="{00000000-0002-0000-0800-000000000000}"/>
    <dataValidation type="list" allowBlank="1" showInputMessage="1" showErrorMessage="1" sqref="I11" xr:uid="{00000000-0002-0000-0800-000001000000}">
      <formula1>$A$137:$A$147</formula1>
    </dataValidation>
    <dataValidation type="list" allowBlank="1" showInputMessage="1" showErrorMessage="1" sqref="I10" xr:uid="{00000000-0002-0000-0800-000002000000}">
      <formula1>$A$116:$A$122</formula1>
    </dataValidation>
    <dataValidation type="list" allowBlank="1" showInputMessage="1" showErrorMessage="1" sqref="I7" xr:uid="{00000000-0002-0000-0800-000003000000}">
      <formula1>$A$150:$A$154</formula1>
    </dataValidation>
    <dataValidation type="list" allowBlank="1" showInputMessage="1" showErrorMessage="1" sqref="B32:B33 B48:B49 B44:B45 B40:B41 B36:B37" xr:uid="{00000000-0002-0000-0800-000004000000}">
      <formula1>$A$169:$A$200</formula1>
    </dataValidation>
    <dataValidation type="list" allowBlank="1" showInputMessage="1" showErrorMessage="1" sqref="D32:D50 D24:D26" xr:uid="{00000000-0002-0000-0800-000009000000}">
      <formula1>$A$106:$A$114</formula1>
    </dataValidation>
    <dataValidation type="list" allowBlank="1" showInputMessage="1" showErrorMessage="1" sqref="AX4:BB4" xr:uid="{00000000-0002-0000-0800-00000B000000}">
      <formula1>$A$10:$A$18</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C000000}">
          <x14:formula1>
            <xm:f>'Data source'!$B$238:$B$248</xm:f>
          </x14:formula1>
          <xm:sqref>G11</xm:sqref>
        </x14:dataValidation>
        <x14:dataValidation type="list" allowBlank="1" showInputMessage="1" showErrorMessage="1" xr:uid="{00000000-0002-0000-0800-00000D000000}">
          <x14:formula1>
            <xm:f>'Data source'!$B$250:$B$254</xm:f>
          </x14:formula1>
          <xm:sqref>G7</xm:sqref>
        </x14:dataValidation>
        <x14:dataValidation type="list" allowBlank="1" showInputMessage="1" showErrorMessage="1" xr:uid="{00000000-0002-0000-0800-00000E000000}">
          <x14:formula1>
            <xm:f>'Data source'!#REF!</xm:f>
          </x14:formula1>
          <xm:sqref>B28:B29 G10</xm:sqref>
        </x14:dataValidation>
        <x14:dataValidation type="list" allowBlank="1" showInputMessage="1" showErrorMessage="1" xr:uid="{00000000-0002-0000-0800-000010000000}">
          <x14:formula1>
            <xm:f>'Data source'!$B$127:$B$137</xm:f>
          </x14:formula1>
          <xm:sqref>D28:D30</xm:sqref>
        </x14:dataValidation>
        <x14:dataValidation type="list" allowBlank="1" showInputMessage="1" showErrorMessage="1" xr:uid="{00000000-0002-0000-0800-000011000000}">
          <x14:formula1>
            <xm:f>'Data source'!$B$4:$B$12</xm:f>
          </x14:formula1>
          <xm:sqref>D16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b08845c-1da2-4a56-9824-2cf6e5670ab8" xsi:nil="true"/>
    <a60edd08c3984e0bbfb1c0145e2bcdd5 xmlns="1f522984-b973-49ee-bf5a-1f3316d2d5a8">
      <Terms xmlns="http://schemas.microsoft.com/office/infopath/2007/PartnerControls"/>
    </a60edd08c3984e0bbfb1c0145e2bcdd5>
    <d09056a6e58c4650a7e2dec39c66a1ab xmlns="1f522984-b973-49ee-bf5a-1f3316d2d5a8">
      <Terms xmlns="http://schemas.microsoft.com/office/infopath/2007/PartnerControls"/>
    </d09056a6e58c4650a7e2dec39c66a1ab>
    <MediaLengthInSeconds xmlns="a8ba33f5-24c8-4aa1-b377-c8a9a793b5b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BBC476C5069644A5F9A429E9839E59" ma:contentTypeVersion="9" ma:contentTypeDescription="Create a new document." ma:contentTypeScope="" ma:versionID="67ac730532f4719829b2e4fe96738af5">
  <xsd:schema xmlns:xsd="http://www.w3.org/2001/XMLSchema" xmlns:xs="http://www.w3.org/2001/XMLSchema" xmlns:p="http://schemas.microsoft.com/office/2006/metadata/properties" xmlns:ns2="1f522984-b973-49ee-bf5a-1f3316d2d5a8" xmlns:ns3="6b08845c-1da2-4a56-9824-2cf6e5670ab8" xmlns:ns4="a8ba33f5-24c8-4aa1-b377-c8a9a793b5bf" targetNamespace="http://schemas.microsoft.com/office/2006/metadata/properties" ma:root="true" ma:fieldsID="bc704762c96c9d2894bbd1b6c7bf4f72" ns2:_="" ns3:_="" ns4:_="">
    <xsd:import namespace="1f522984-b973-49ee-bf5a-1f3316d2d5a8"/>
    <xsd:import namespace="6b08845c-1da2-4a56-9824-2cf6e5670ab8"/>
    <xsd:import namespace="a8ba33f5-24c8-4aa1-b377-c8a9a793b5bf"/>
    <xsd:element name="properties">
      <xsd:complexType>
        <xsd:sequence>
          <xsd:element name="documentManagement">
            <xsd:complexType>
              <xsd:all>
                <xsd:element ref="ns2:d09056a6e58c4650a7e2dec39c66a1ab" minOccurs="0"/>
                <xsd:element ref="ns2:a60edd08c3984e0bbfb1c0145e2bcdd5" minOccurs="0"/>
                <xsd:element ref="ns3:TaxCatchAll"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22984-b973-49ee-bf5a-1f3316d2d5a8" elementFormDefault="qualified">
    <xsd:import namespace="http://schemas.microsoft.com/office/2006/documentManagement/types"/>
    <xsd:import namespace="http://schemas.microsoft.com/office/infopath/2007/PartnerControls"/>
    <xsd:element name="d09056a6e58c4650a7e2dec39c66a1ab" ma:index="8" nillable="true" ma:taxonomy="true" ma:internalName="d09056a6e58c4650a7e2dec39c66a1ab" ma:taxonomyFieldName="ProjectActivity" ma:displayName="Project Activity" ma:default="" ma:fieldId="{d09056a6-e58c-4650-a7e2-dec39c66a1ab}" ma:sspId="04901dcd-99d9-47d9-9868-9bfe0073bbba" ma:termSetId="5e6f3886-e293-4279-904b-e656d18b492a" ma:anchorId="00000000-0000-0000-0000-000000000000" ma:open="false" ma:isKeyword="false">
      <xsd:complexType>
        <xsd:sequence>
          <xsd:element ref="pc:Terms" minOccurs="0" maxOccurs="1"/>
        </xsd:sequence>
      </xsd:complexType>
    </xsd:element>
    <xsd:element name="a60edd08c3984e0bbfb1c0145e2bcdd5" ma:index="9" nillable="true" ma:taxonomy="true" ma:internalName="a60edd08c3984e0bbfb1c0145e2bcdd5" ma:taxonomyFieldName="DocumentType" ma:displayName="Document Type" ma:default="" ma:fieldId="{a60edd08-c398-4e0b-bfb1-c0145e2bcdd5}" ma:sspId="04901dcd-99d9-47d9-9868-9bfe0073bbba" ma:termSetId="78ee7523-6347-4698-bde4-6a685b1ef6f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b08845c-1da2-4a56-9824-2cf6e5670ab8"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b57b69a9-f6ed-4b30-a256-b74295d04819}" ma:internalName="TaxCatchAll" ma:showField="CatchAllData" ma:web="6b08845c-1da2-4a56-9824-2cf6e5670ab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8ba33f5-24c8-4aa1-b377-c8a9a793b5b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FBF9AA-D168-4175-9D83-3A0799157F71}">
  <ds:schemaRefs>
    <ds:schemaRef ds:uri="http://schemas.microsoft.com/office/2006/documentManagement/types"/>
    <ds:schemaRef ds:uri="501b78a8-2d3b-4e1f-85c5-97b4737901fc"/>
    <ds:schemaRef ds:uri="http://schemas.microsoft.com/office/2006/metadata/properties"/>
    <ds:schemaRef ds:uri="http://purl.org/dc/terms/"/>
    <ds:schemaRef ds:uri="http://purl.org/dc/dcmitype/"/>
    <ds:schemaRef ds:uri="http://schemas.openxmlformats.org/package/2006/metadata/core-properties"/>
    <ds:schemaRef ds:uri="http://schemas.microsoft.com/office/infopath/2007/PartnerControls"/>
    <ds:schemaRef ds:uri="4c7ca479-3de2-453a-af08-7e87cba9b33b"/>
    <ds:schemaRef ds:uri="http://www.w3.org/XML/1998/namespace"/>
    <ds:schemaRef ds:uri="http://purl.org/dc/elements/1.1/"/>
    <ds:schemaRef ds:uri="6b08845c-1da2-4a56-9824-2cf6e5670ab8"/>
    <ds:schemaRef ds:uri="1f522984-b973-49ee-bf5a-1f3316d2d5a8"/>
    <ds:schemaRef ds:uri="a8ba33f5-24c8-4aa1-b377-c8a9a793b5bf"/>
  </ds:schemaRefs>
</ds:datastoreItem>
</file>

<file path=customXml/itemProps2.xml><?xml version="1.0" encoding="utf-8"?>
<ds:datastoreItem xmlns:ds="http://schemas.openxmlformats.org/officeDocument/2006/customXml" ds:itemID="{C6D0B650-605B-4F91-B610-D05E87B11329}">
  <ds:schemaRefs>
    <ds:schemaRef ds:uri="http://schemas.microsoft.com/sharepoint/v3/contenttype/forms"/>
  </ds:schemaRefs>
</ds:datastoreItem>
</file>

<file path=customXml/itemProps3.xml><?xml version="1.0" encoding="utf-8"?>
<ds:datastoreItem xmlns:ds="http://schemas.openxmlformats.org/officeDocument/2006/customXml" ds:itemID="{A8EA9045-C7D0-4D80-B685-273EA4D399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522984-b973-49ee-bf5a-1f3316d2d5a8"/>
    <ds:schemaRef ds:uri="6b08845c-1da2-4a56-9824-2cf6e5670ab8"/>
    <ds:schemaRef ds:uri="a8ba33f5-24c8-4aa1-b377-c8a9a793b5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13</vt:i4>
      </vt:variant>
      <vt:variant>
        <vt:lpstr>Named Ranges</vt:lpstr>
      </vt:variant>
      <vt:variant>
        <vt:i4>38</vt:i4>
      </vt:variant>
    </vt:vector>
  </HeadingPairs>
  <TitlesOfParts>
    <vt:vector size="51" baseType="lpstr">
      <vt:lpstr>How to use</vt:lpstr>
      <vt:lpstr>FEEDCHECKER</vt:lpstr>
      <vt:lpstr>CUSTOM FEED SET-UP</vt:lpstr>
      <vt:lpstr>   ASK    </vt:lpstr>
      <vt:lpstr>OBSERVE</vt:lpstr>
      <vt:lpstr>ASSESS &amp; COMPARE</vt:lpstr>
      <vt:lpstr>SUMMARISE 2</vt:lpstr>
      <vt:lpstr>SUMMARISE</vt:lpstr>
      <vt:lpstr>Not so QUICK CHECK</vt:lpstr>
      <vt:lpstr>Extra info</vt:lpstr>
      <vt:lpstr>Data source</vt:lpstr>
      <vt:lpstr>Drop down list set up</vt:lpstr>
      <vt:lpstr>Sheet1</vt:lpstr>
      <vt:lpstr>_</vt:lpstr>
      <vt:lpstr>Autumn___winter__Irrigated</vt:lpstr>
      <vt:lpstr>Autumn_and_winter</vt:lpstr>
      <vt:lpstr>By_products</vt:lpstr>
      <vt:lpstr>Code</vt:lpstr>
      <vt:lpstr>Concentrates</vt:lpstr>
      <vt:lpstr>Custom_Bulb_Crops</vt:lpstr>
      <vt:lpstr>custom_feed</vt:lpstr>
      <vt:lpstr>Custom_feeds</vt:lpstr>
      <vt:lpstr>Custom_Feeds_Minerals</vt:lpstr>
      <vt:lpstr>Feed_Type</vt:lpstr>
      <vt:lpstr>Fodder_beet_Default</vt:lpstr>
      <vt:lpstr>Forages</vt:lpstr>
      <vt:lpstr>Forages_crops__not_fodder_beet</vt:lpstr>
      <vt:lpstr>Forages_crops_not_Fodderbeet</vt:lpstr>
      <vt:lpstr>FT1_</vt:lpstr>
      <vt:lpstr>FT2_</vt:lpstr>
      <vt:lpstr>FT3_</vt:lpstr>
      <vt:lpstr>FT4_</vt:lpstr>
      <vt:lpstr>FT5_</vt:lpstr>
      <vt:lpstr>FT6_</vt:lpstr>
      <vt:lpstr>FT7_</vt:lpstr>
      <vt:lpstr>FT8_</vt:lpstr>
      <vt:lpstr>Hay_Silage</vt:lpstr>
      <vt:lpstr>Kikuyu___leafy</vt:lpstr>
      <vt:lpstr>Kikuyu___stemmy</vt:lpstr>
      <vt:lpstr>Measured_fodder_beet</vt:lpstr>
      <vt:lpstr>Minerals</vt:lpstr>
      <vt:lpstr>Other_Crops_Default</vt:lpstr>
      <vt:lpstr>Pasture</vt:lpstr>
      <vt:lpstr>'ASSESS &amp; COMPARE'!Print_Area</vt:lpstr>
      <vt:lpstr>Spring</vt:lpstr>
      <vt:lpstr>Spring___Irrigated</vt:lpstr>
      <vt:lpstr>SUMMARISE!SUMMARISE_Print</vt:lpstr>
      <vt:lpstr>'SUMMARISE 2'!SUMMARISE_Print</vt:lpstr>
      <vt:lpstr>Summer___leafy</vt:lpstr>
      <vt:lpstr>Summer___leafy___irrigated</vt:lpstr>
      <vt:lpstr>Summer___stalky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Printed>2021-06-08T20:44:26Z</cp:lastPrinted>
  <dcterms:created xsi:type="dcterms:W3CDTF">2013-04-10T05:25:44Z</dcterms:created>
  <dcterms:modified xsi:type="dcterms:W3CDTF">2024-04-10T00:27:35Z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0x010100F8BBC476C5069644A5F9A429E9839E59</vt:lpwstr>
  </property>
  <property fmtid="{D5CDD505-2E9C-101B-9397-08002B2CF9AE}" pid="3" name="MediaServiceImageTags">
    <vt:lpwstr/>
  </property>
  <property fmtid="{D5CDD505-2E9C-101B-9397-08002B2CF9AE}" pid="4" name="Order">
    <vt:r8>243900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ProjectActivity">
    <vt:lpwstr/>
  </property>
  <property fmtid="{D5CDD505-2E9C-101B-9397-08002B2CF9AE}" pid="12" name="DocumentType">
    <vt:lpwstr/>
  </property>
</Properties>
</file>