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476" yWindow="105" windowWidth="19260" windowHeight="5715" tabRatio="866" activeTab="0"/>
  </bookViews>
  <sheets>
    <sheet name="Welcome" sheetId="1" r:id="rId1"/>
    <sheet name="DataInputBasic " sheetId="2" r:id="rId2"/>
    <sheet name="DataInputIntermediate" sheetId="3" r:id="rId3"/>
    <sheet name="DataInputAdvanced" sheetId="4" r:id="rId4"/>
    <sheet name="BMSCCCostsBasic" sheetId="5" r:id="rId5"/>
    <sheet name="BMSCCCostsInt" sheetId="6" r:id="rId6"/>
    <sheet name="BMSCCCosts" sheetId="7" r:id="rId7"/>
    <sheet name="ClinicalCostsBasic" sheetId="8" r:id="rId8"/>
    <sheet name="ClinicalCostsInt" sheetId="9" r:id="rId9"/>
    <sheet name="ClinicalCosts" sheetId="10" r:id="rId10"/>
    <sheet name="CullingCostsBasic" sheetId="11" r:id="rId11"/>
    <sheet name="CullingCostsInt" sheetId="12" r:id="rId12"/>
    <sheet name="CullingCosts" sheetId="13" r:id="rId13"/>
    <sheet name="SummaryBasic" sheetId="14" r:id="rId14"/>
    <sheet name="Summary Intermediate" sheetId="15" r:id="rId15"/>
    <sheet name="Summary Advanced" sheetId="16" r:id="rId16"/>
    <sheet name="SummarySheetDataBasic" sheetId="17" r:id="rId17"/>
    <sheet name="SummarySheetDataInt" sheetId="18" r:id="rId18"/>
    <sheet name="SummarySheetData" sheetId="19" r:id="rId19"/>
    <sheet name="Assumptions" sheetId="20" r:id="rId20"/>
  </sheets>
  <definedNames>
    <definedName name="ABMilkFedCalvesAdv">'ClinicalCosts'!$B$106</definedName>
    <definedName name="ABMilkFedCalvesBas">'ClinicalCostsBasic'!$B$106</definedName>
    <definedName name="ABMilkFedCalvesInt">'ClinicalCostsInt'!$B$106</definedName>
    <definedName name="ABMilkValue">'Assumptions'!$B$4</definedName>
    <definedName name="ABMilkValueAdv">'DataInputAdvanced'!$D$125</definedName>
    <definedName name="Advisor_name">'DataInputBasic '!$C$4</definedName>
    <definedName name="Advisor_s_business_name">'DataInputBasic '!$C$6</definedName>
    <definedName name="BMSCCAveCurrent">'DataInputBasic '!$C$28</definedName>
    <definedName name="BMSCCAveTarget">'DataInputBasic '!$D$28</definedName>
    <definedName name="BMSCCAveTargetIndustry">'DataInputBasic '!$E$28</definedName>
    <definedName name="CalvedNoTotalCurrent">'DataInputBasic '!$C$19</definedName>
    <definedName name="CalvedNoTotalTarget">'DataInputBasic '!$D$19</definedName>
    <definedName name="CMCaseRateTargetIndustry">'DataInputBasic '!$E$57</definedName>
    <definedName name="CMDryCurrentBas">'DataInputBasic '!$C$53</definedName>
    <definedName name="CMDryCurrentInt">'DataInputIntermediate'!$C$57</definedName>
    <definedName name="CMDryMilkCurrentAdv">'DataInputAdvanced'!$C$91</definedName>
    <definedName name="CMDryMilkCurrentInt">'DataInputIntermediate'!$C$81</definedName>
    <definedName name="CMDryMilkTargetAdv">'DataInputAdvanced'!$D$91</definedName>
    <definedName name="CMDryMilkTargetInt">'DataInputIntermediate'!$D$81</definedName>
    <definedName name="CMDryTargetBas">'DataInputBasic '!$D$53</definedName>
    <definedName name="CMDryTargetInt">'DataInputIntermediate'!$D$57</definedName>
    <definedName name="CMMilkingCurrentAdv">'ClinicalCosts'!$B$25</definedName>
    <definedName name="CMMilkingCurrentBas">'DataInputBasic '!$C$55</definedName>
    <definedName name="CMMilkingCurrentInt">'ClinicalCostsInt'!$B$25</definedName>
    <definedName name="CMMilkingTargetAdv">'ClinicalCosts'!$C$25</definedName>
    <definedName name="CMMilkingTargetBas">'DataInputBasic '!$D$55</definedName>
    <definedName name="CMMilkingTargetInt">'ClinicalCostsInt'!$C$25</definedName>
    <definedName name="CMPercentMonth6Plus">'Assumptions'!$B$5</definedName>
    <definedName name="CMTreatProd1CostAdv">'DataInputAdvanced'!$D$114</definedName>
    <definedName name="CMTreatProd1CostBas">'DataInputBasic '!$D$59</definedName>
    <definedName name="CMTreatProd1CostInt">'DataInputIntermediate'!$D$104</definedName>
    <definedName name="CMTreatProd1PercentAdv">'DataInputAdvanced'!$C$114</definedName>
    <definedName name="CMTreatProd1PercentBas">'DataInputBasic '!$C$59</definedName>
    <definedName name="CMTreatProd1PercentInt">'DataInputIntermediate'!$C$104</definedName>
    <definedName name="CMTreatProd2CostAdv">'DataInputAdvanced'!$D$115</definedName>
    <definedName name="CMTreatProd2CostBas">'DataInputBasic '!$D$60</definedName>
    <definedName name="CMTreatProd2CostInt">'DataInputIntermediate'!$D$105</definedName>
    <definedName name="CMTreatProd2PercentAdv">'DataInputAdvanced'!$C$115</definedName>
    <definedName name="CMTreatProd2PercentBas">'DataInputBasic '!$C$60</definedName>
    <definedName name="CMTreatProd2PercentInt">'DataInputIntermediate'!$C$105</definedName>
    <definedName name="CullDeathRateMastitisIndustryTarget">'DataInputBasic '!$E$84</definedName>
    <definedName name="CullEarlyMonthsCurrentAdv">'DataInputAdvanced'!$C$144</definedName>
    <definedName name="CullEarlyMonthsCurrentBas">'DataInputBasic '!$C$78</definedName>
    <definedName name="CullEarlyMonthsCurrentInt">'DataInputIntermediate'!$C$112</definedName>
    <definedName name="CullEarlyMonthsTargetAdv">'DataInputAdvanced'!$D$144</definedName>
    <definedName name="CullEarlyMonthsTargetBas">'DataInputBasic '!$D$78</definedName>
    <definedName name="CullEarlyMonthsTargetInt">'DataInputIntermediate'!$D$112</definedName>
    <definedName name="CullMastNumCurrentAdv">'DataInputAdvanced'!$C$141</definedName>
    <definedName name="CullMastNumCurrentBas">'DataInputBasic '!$C$77</definedName>
    <definedName name="CullMastNumCurrentInt">'DataInputIntermediate'!$C$111</definedName>
    <definedName name="CullMastNumTargetAdv">'DataInputAdvanced'!$D$141</definedName>
    <definedName name="CullMastNumTargetBas">'DataInputBasic '!$D$77</definedName>
    <definedName name="CullMastNumTargetInt">'DataInputIntermediate'!$D$111</definedName>
    <definedName name="CullRiskCM">'Assumptions'!$B$13</definedName>
    <definedName name="CullValue">'Assumptions'!$B$9</definedName>
    <definedName name="CullValueAdv">'DataInputAdvanced'!$D$150</definedName>
    <definedName name="DaysTempWithholdCurrentAdv">'DataInputAdvanced'!$C$38</definedName>
    <definedName name="DaysTempWithholdCurrentBas">'DataInputBasic '!$C$32</definedName>
    <definedName name="DaysTempWithholdCurrentInt">'DataInputIntermediate'!$C$34</definedName>
    <definedName name="DaysTempWithholdTargetAdv">'DataInputAdvanced'!$D$38</definedName>
    <definedName name="DaysTempWithholdTargetBas">'DataInputBasic '!$D$32</definedName>
    <definedName name="DaysTempWithholdTargetInt">'DataInputIntermediate'!$D$34</definedName>
    <definedName name="DiedMastNumCurrentAdv">'DataInputAdvanced'!$C$146</definedName>
    <definedName name="DiedMastNumCurrentBas">'DataInputBasic '!$C$80</definedName>
    <definedName name="DiedMastNumCurrentInt">'DataInputIntermediate'!$C$114</definedName>
    <definedName name="DiedMastNumTargetAdv">'DataInputAdvanced'!$D$146</definedName>
    <definedName name="DiedMastNumTargetBas">'DataInputBasic '!$D$80</definedName>
    <definedName name="DiedMastNumTargetInt">'DataInputIntermediate'!$D$114</definedName>
    <definedName name="DMIntakeAnnual">'Assumptions'!$B$14</definedName>
    <definedName name="DryEarlyNumCurrentAdv">'DataInputAdvanced'!$C$34</definedName>
    <definedName name="DryEarlyNumCurrentBas">'DataInputBasic '!$C$30</definedName>
    <definedName name="DryEarlyNumCurrentInt">'DataInputIntermediate'!$C$32</definedName>
    <definedName name="DryEarlyNumTargetAdv">'DataInputAdvanced'!$D$34</definedName>
    <definedName name="DryEarlyNumTargetBas">'DataInputBasic '!$D$30</definedName>
    <definedName name="DryEarlyNumTargetInt">'DataInputIntermediate'!$D$32</definedName>
    <definedName name="DryNumTotalCurrentInt">'DataInputIntermediate'!$C$24</definedName>
    <definedName name="DryNumTotalTargetInt">'DataInputIntermediate'!$D$24</definedName>
    <definedName name="FeedCostTonneDM">'Assumptions'!$B$15</definedName>
    <definedName name="HeiferProdDiff">'Assumptions'!$B$7</definedName>
    <definedName name="Herd_name">'DataInputBasic '!$C$10</definedName>
    <definedName name="Herd_owner">'DataInputBasic '!$C$8</definedName>
    <definedName name="LabourCost">'Assumptions'!$B$10</definedName>
    <definedName name="LabourCostAdv">'DataInputAdvanced'!$D$117</definedName>
    <definedName name="LactDaysAve">'Assumptions'!$B$3</definedName>
    <definedName name="MilkDiscardAdv">'ClinicalCosts'!$B$100</definedName>
    <definedName name="MilkDiscardBas">'ClinicalCostsBasic'!$B$100</definedName>
    <definedName name="MilkDiscardInt">'ClinicalCostsInt'!$B$100</definedName>
    <definedName name="MilkDiscardTotalBaselineAdv">'ClinicalCosts'!$F$25</definedName>
    <definedName name="MilkDiscardTotalBaselineBas">'ClinicalCostsBasic'!$F$25</definedName>
    <definedName name="MilkDiscardTotalBaselineInt">'ClinicalCostsInt'!$F$25</definedName>
    <definedName name="MilkDiscardTotalTargetAdv">'ClinicalCosts'!$G$25</definedName>
    <definedName name="MilkDiscardTotalTargetBas">'ClinicalCostsBasic'!$G$25</definedName>
    <definedName name="MilkDiscardTotalTargetInt">'ClinicalCostsInt'!$G$25</definedName>
    <definedName name="MonthsDryEarlyCurrentAdv">'DataInputAdvanced'!$C$36</definedName>
    <definedName name="MonthsDryEarlyCurrentBas">'DataInputBasic '!$C$31</definedName>
    <definedName name="MonthsDryEarlyCurrentInt">'DataInputIntermediate'!$C$33</definedName>
    <definedName name="MonthsDryEarlyTargetAdv">'DataInputAdvanced'!$D$36</definedName>
    <definedName name="MonthsDryEarlyTargetBas">'DataInputBasic '!$D$31</definedName>
    <definedName name="MonthsDryEarlyTargetInt">'DataInputIntermediate'!$D$33</definedName>
    <definedName name="MSPercentDiscardedMilk">'Assumptions'!$B$6</definedName>
    <definedName name="Payout">'DataInputBasic '!$C$14</definedName>
    <definedName name="_xlnm.Print_Area" localSheetId="3">'DataInputAdvanced'!$A$1:$G$167</definedName>
    <definedName name="_xlnm.Print_Area" localSheetId="1">'DataInputBasic '!$A$1:$G$94</definedName>
    <definedName name="_xlnm.Print_Area" localSheetId="2">'DataInputIntermediate'!$A$1:$G$128</definedName>
    <definedName name="_xlnm.Print_Area" localSheetId="15">'Summary Advanced'!$A$1:$E$42</definedName>
    <definedName name="_xlnm.Print_Area" localSheetId="14">'Summary Intermediate'!$A$1:$E$42</definedName>
    <definedName name="_xlnm.Print_Area" localSheetId="13">'SummaryBasic'!$A$1:$E$42</definedName>
    <definedName name="_xlnm.Print_Area" localSheetId="0">'Welcome'!$A$1:$N$34</definedName>
    <definedName name="ProdCurrent">'DataInputBasic '!$C$21</definedName>
    <definedName name="ProdDailyMSCurrentBas">'ClinicalCostsBasic'!$B$12</definedName>
    <definedName name="ProdDailyMSTargetBas">'ClinicalCostsBasic'!$C$12</definedName>
    <definedName name="ProdLateLactAve">'Assumptions'!$B$2</definedName>
    <definedName name="ProdLossClin">'Assumptions'!$B$11</definedName>
    <definedName name="ProdLossSubclinMast">'Assumptions'!$B$1</definedName>
    <definedName name="ProdTarget">'DataInputBasic '!$D$21</definedName>
    <definedName name="ReplacementCost">'Assumptions'!$B$8</definedName>
    <definedName name="ReplacementCostAdv">'DataInputAdvanced'!$D$148</definedName>
    <definedName name="TimePerCaseCM">'Assumptions'!$B$12</definedName>
  </definedNames>
  <calcPr fullCalcOnLoad="1"/>
</workbook>
</file>

<file path=xl/sharedStrings.xml><?xml version="1.0" encoding="utf-8"?>
<sst xmlns="http://schemas.openxmlformats.org/spreadsheetml/2006/main" count="1020" uniqueCount="303">
  <si>
    <t>Herd Owner</t>
  </si>
  <si>
    <t>Herd Name</t>
  </si>
  <si>
    <t>Total number cows &amp; heifers calved</t>
  </si>
  <si>
    <t>Year of start of season</t>
  </si>
  <si>
    <t>Dry period</t>
  </si>
  <si>
    <t>- Discarded milk</t>
  </si>
  <si>
    <t>- Treatment costs</t>
  </si>
  <si>
    <t>- Reduced production</t>
  </si>
  <si>
    <t>- Labour costs</t>
  </si>
  <si>
    <t>Value of cull cow</t>
  </si>
  <si>
    <t>Fonterra</t>
  </si>
  <si>
    <t>Total ($)</t>
  </si>
  <si>
    <t>Tatua</t>
  </si>
  <si>
    <t>Open Country Cheese</t>
  </si>
  <si>
    <t>Westland Milk Products</t>
  </si>
  <si>
    <t>Synlait</t>
  </si>
  <si>
    <t>NZ Dairies</t>
  </si>
  <si>
    <t>Processors:</t>
  </si>
  <si>
    <t>Level 1</t>
  </si>
  <si>
    <t>400-499</t>
  </si>
  <si>
    <t>100-149</t>
  </si>
  <si>
    <t>150-300</t>
  </si>
  <si>
    <t>&gt;400</t>
  </si>
  <si>
    <t>150-299</t>
  </si>
  <si>
    <t>Deduction type</t>
  </si>
  <si>
    <t>Percentage</t>
  </si>
  <si>
    <t>Level 2</t>
  </si>
  <si>
    <t>Level 3</t>
  </si>
  <si>
    <t>Level 4</t>
  </si>
  <si>
    <t>500-599</t>
  </si>
  <si>
    <t>600-799</t>
  </si>
  <si>
    <t>&gt;800</t>
  </si>
  <si>
    <t>300-349</t>
  </si>
  <si>
    <t>350-500</t>
  </si>
  <si>
    <t>Level 5</t>
  </si>
  <si>
    <t>Deduction 1</t>
  </si>
  <si>
    <t>Deduction 2</t>
  </si>
  <si>
    <t>Deduction 3</t>
  </si>
  <si>
    <t>Deduction 4</t>
  </si>
  <si>
    <t>Deduction 5</t>
  </si>
  <si>
    <t>&gt;500</t>
  </si>
  <si>
    <t>301-400</t>
  </si>
  <si>
    <t>Flat rate</t>
  </si>
  <si>
    <t>401-600</t>
  </si>
  <si>
    <t>&gt;600</t>
  </si>
  <si>
    <t>150-349</t>
  </si>
  <si>
    <t>350-399</t>
  </si>
  <si>
    <t>400-599</t>
  </si>
  <si>
    <t>Level 6</t>
  </si>
  <si>
    <t>Deduction 6</t>
  </si>
  <si>
    <t>&gt;=800</t>
  </si>
  <si>
    <t>Name of advisor</t>
  </si>
  <si>
    <t>Advisor's business name</t>
  </si>
  <si>
    <t>- Indirect culling due to clinical mastitis effects on other diseases</t>
  </si>
  <si>
    <t>Number of cases</t>
  </si>
  <si>
    <t>Average WT (d)</t>
  </si>
  <si>
    <t>Target</t>
  </si>
  <si>
    <t>Month herd in milk (1=first month of supply)</t>
  </si>
  <si>
    <t>Average DIM</t>
  </si>
  <si>
    <t>Diff. cases</t>
  </si>
  <si>
    <t>N/A</t>
  </si>
  <si>
    <t>Value of replacement cow/hfr</t>
  </si>
  <si>
    <t>- Feed savings from early culling</t>
  </si>
  <si>
    <t>Cost of 1 course</t>
  </si>
  <si>
    <t>TreatmentProd_ID</t>
  </si>
  <si>
    <t>Product</t>
  </si>
  <si>
    <t>WT_Mlkgs</t>
  </si>
  <si>
    <t>WT_Hrs</t>
  </si>
  <si>
    <t>Treatment_Int</t>
  </si>
  <si>
    <t>DoseNum</t>
  </si>
  <si>
    <t>Clavulox LC</t>
  </si>
  <si>
    <t>Engemycin</t>
  </si>
  <si>
    <t>Intracillin 1000 MC</t>
  </si>
  <si>
    <t>Mastalone</t>
  </si>
  <si>
    <t>Tylan 200</t>
  </si>
  <si>
    <t>Spectrazol</t>
  </si>
  <si>
    <t>Lincocin Forte S</t>
  </si>
  <si>
    <t>Masticillin</t>
  </si>
  <si>
    <t>Tylo 200</t>
  </si>
  <si>
    <t>Tyloguard</t>
  </si>
  <si>
    <t>Cloxagel 200 MC</t>
  </si>
  <si>
    <t>Lactaclox</t>
  </si>
  <si>
    <t>Penalone</t>
  </si>
  <si>
    <t>Rilexine 200 LC</t>
  </si>
  <si>
    <t>TotalWT_days</t>
  </si>
  <si>
    <t>WeightedWT_days</t>
  </si>
  <si>
    <t>Weighted Ave WT_days</t>
  </si>
  <si>
    <t>- Production lost due to subclinical mastitis ($)</t>
  </si>
  <si>
    <t>% Ave daily production</t>
  </si>
  <si>
    <t>Average time per case (h)</t>
  </si>
  <si>
    <t>No. months prematurely culled</t>
  </si>
  <si>
    <t>Value of feed ($/T DM)</t>
  </si>
  <si>
    <t>Baseline</t>
  </si>
  <si>
    <t>Annual feed intake (T DM)</t>
  </si>
  <si>
    <t>Feed costs saved</t>
  </si>
  <si>
    <t>No. culled early</t>
  </si>
  <si>
    <t>- Lost milk production from cows early culling</t>
  </si>
  <si>
    <t>No. months prematurely dried-off</t>
  </si>
  <si>
    <t>No. cows dried off early</t>
  </si>
  <si>
    <t>Value of lost production</t>
  </si>
  <si>
    <t>- Indirect losses due to lower production of replacements</t>
  </si>
  <si>
    <t>No. culled due to mastitis</t>
  </si>
  <si>
    <t>Difference production heifer vs. adult (%)</t>
  </si>
  <si>
    <t>Indirect culls due to clinical mastitis</t>
  </si>
  <si>
    <t>Reduced production (MS) due case</t>
  </si>
  <si>
    <t>Additional replacement costs</t>
  </si>
  <si>
    <t>Total costs</t>
  </si>
  <si>
    <t>Mamyzin- 3 x 5g</t>
  </si>
  <si>
    <t>Mamyzin- 10g + 5 g</t>
  </si>
  <si>
    <t>Orbenin LA</t>
  </si>
  <si>
    <t>Lactapen G</t>
  </si>
  <si>
    <t>Mastiguard MC</t>
  </si>
  <si>
    <t>Maxalac LC</t>
  </si>
  <si>
    <t>Nitroclox LA</t>
  </si>
  <si>
    <t>Penethaject 10g + 5g</t>
  </si>
  <si>
    <t>Date</t>
  </si>
  <si>
    <t>Benefit</t>
  </si>
  <si>
    <t>Loss in production (%)</t>
  </si>
  <si>
    <t>Loss in MS (kg)</t>
  </si>
  <si>
    <t>Loss in income ($)</t>
  </si>
  <si>
    <t>Target total production lost</t>
  </si>
  <si>
    <t>Target total production lost after discard</t>
  </si>
  <si>
    <t>Processor BMSCC premium/penalty payment structure</t>
  </si>
  <si>
    <t>- Treatment costs ($)</t>
  </si>
  <si>
    <t>- Production loss following discard ($)</t>
  </si>
  <si>
    <t>- Indirect culling due to effects of clinical mastitis on other diseases ($)</t>
  </si>
  <si>
    <t>- Labour costs ($)</t>
  </si>
  <si>
    <t>Labour cost/hr for treating mastitis cows ($)</t>
  </si>
  <si>
    <t>Grand Total ($)</t>
  </si>
  <si>
    <t>Ave milk production over late lactation compared to season average</t>
  </si>
  <si>
    <t>Ave milk production over late lactation (% of season ave.)</t>
  </si>
  <si>
    <t>1. Reduced bulk milk somatic cell count (BMSCC)</t>
  </si>
  <si>
    <t>2. Reduced clinical mastitis</t>
  </si>
  <si>
    <t>3. Reduced culling and death directly related to mastitis</t>
  </si>
  <si>
    <t>Average daily production (MS)</t>
  </si>
  <si>
    <t>Attributable risk of culling due other diseases associated with CM</t>
  </si>
  <si>
    <t>Average season production (MS)</t>
  </si>
  <si>
    <t>Baseline discarded milk (kg MS)</t>
  </si>
  <si>
    <t>Target discarded milk (kg MS)</t>
  </si>
  <si>
    <t>Diff. MS (kg)</t>
  </si>
  <si>
    <t>Baseline total production lost</t>
  </si>
  <si>
    <t>Baseline total production lost after discard</t>
  </si>
  <si>
    <t>Baseline costs/losses</t>
  </si>
  <si>
    <t>Target costs/losses</t>
  </si>
  <si>
    <t>Average months before end of season mastitis-related cows culled</t>
  </si>
  <si>
    <t>Mastitis control target components</t>
  </si>
  <si>
    <t>Season average BMSCC (x 1,000 cells/mL)</t>
  </si>
  <si>
    <t xml:space="preserve"> % cases product used</t>
  </si>
  <si>
    <t>No</t>
  </si>
  <si>
    <t>Yes</t>
  </si>
  <si>
    <t>Is antibiotic milk discarded?</t>
  </si>
  <si>
    <t>Average MS% of milk discarded</t>
  </si>
  <si>
    <t>Value of kg MS discarded</t>
  </si>
  <si>
    <t>Herd owner</t>
  </si>
  <si>
    <t>Herd name</t>
  </si>
  <si>
    <t>Advisor name</t>
  </si>
  <si>
    <t>Culling and death rate directly due to mastitis</t>
  </si>
  <si>
    <t>Total number cows &amp; heifers culled or died in season</t>
  </si>
  <si>
    <t>Subclinical mastitis production loss per doubling BMSCC above 100,000 cells/mL (%)</t>
  </si>
  <si>
    <t>Average number of months dried off early due to high ISCC</t>
  </si>
  <si>
    <t>Number of cows dried off early due to high ISCC (but not culled)</t>
  </si>
  <si>
    <t>- Discarded milk losses ($)</t>
  </si>
  <si>
    <t>- Cost of additional replacements (including cull value) ($)</t>
  </si>
  <si>
    <t>- Indirect losses due to lower production of replacements ($)</t>
  </si>
  <si>
    <t>- Lost milk production from dead cows ($)</t>
  </si>
  <si>
    <t>- Lost milk production from cows culled early ($)</t>
  </si>
  <si>
    <t>- Feed cost savings from cows culled early ($)</t>
  </si>
  <si>
    <t>1-2%</t>
  </si>
  <si>
    <t>Number of temporary cow milking days witheld due high BMSCC</t>
  </si>
  <si>
    <t>- Production losses from early dry-off or temporary withhold of high SCC cows ($)</t>
  </si>
  <si>
    <t>Lost income due early dry off</t>
  </si>
  <si>
    <t>Total production losses</t>
  </si>
  <si>
    <t>Lost income due temporary withhold</t>
  </si>
  <si>
    <t>Number of cow milking days temporarily withheld due high BMSCC</t>
  </si>
  <si>
    <t>TOTAL</t>
  </si>
  <si>
    <t>Value placed on antibiotic milk ($/L)</t>
  </si>
  <si>
    <t>Value of antibiotic milk with target season payout ($/L)</t>
  </si>
  <si>
    <t>If antibiotic milk is not discarded, is it fed to calves or sold?</t>
  </si>
  <si>
    <t>Fed to calves</t>
  </si>
  <si>
    <t>Sold</t>
  </si>
  <si>
    <t>Lincocin Forte S OAD milking</t>
  </si>
  <si>
    <t>Orbenin LA OAD milking</t>
  </si>
  <si>
    <t>Intracillin 1000 MC (6 treatments)</t>
  </si>
  <si>
    <t>Lactapen G (6 treatments)</t>
  </si>
  <si>
    <t>Mastiguard MC (6 treatments)</t>
  </si>
  <si>
    <t>Spectrazol (6 treatments)</t>
  </si>
  <si>
    <t>Herd production to processor (kgMS)</t>
  </si>
  <si>
    <t>Name of antibiotic products used (assume same in both seasons)</t>
  </si>
  <si>
    <t>Dry period and  month the herd is in milk (1=first month of supply)</t>
  </si>
  <si>
    <t>Number of cow cases</t>
  </si>
  <si>
    <t>Gross benefit ('gap') when mastitis control targets achieved =</t>
  </si>
  <si>
    <t>Total number of cases of clinical mastitis from start of dry period to end milking</t>
  </si>
  <si>
    <t>Baseline cases</t>
  </si>
  <si>
    <t>Target cases</t>
  </si>
  <si>
    <t>Average % of cases occuring after month 5</t>
  </si>
  <si>
    <t>Labour cost/hr for managing mastitis cows ($)</t>
  </si>
  <si>
    <t>Target performance</t>
  </si>
  <si>
    <t>Overall clinical mastitis case rate (%)</t>
  </si>
  <si>
    <t>Number of cow cases of clinical mastitis in dry period</t>
  </si>
  <si>
    <t>Number of cow cases of clinical mastitis in milking season</t>
  </si>
  <si>
    <t>Culling and death rate directly due to mastitis (%)</t>
  </si>
  <si>
    <t>Total in lactation</t>
  </si>
  <si>
    <t>Dry period clinicals</t>
  </si>
  <si>
    <t>No. culled</t>
  </si>
  <si>
    <t>No. culled/died due to mastitis</t>
  </si>
  <si>
    <t>Number of cows culled due to mastitis-related reasons in season</t>
  </si>
  <si>
    <t>Number of cows died due to mastitis-related reasons in season</t>
  </si>
  <si>
    <t>Acknowledgements:</t>
  </si>
  <si>
    <t>Aim:</t>
  </si>
  <si>
    <t>Average % of cases occuring after month 5 (not fed to calves)</t>
  </si>
  <si>
    <t>Average % of cases occuring after month 5 (not fed to calves)- for basic version of calculator</t>
  </si>
  <si>
    <t>Month of start of calving</t>
  </si>
  <si>
    <t>Month of calving start</t>
  </si>
  <si>
    <t>Month ID</t>
  </si>
  <si>
    <t>Jan</t>
  </si>
  <si>
    <t>Feb</t>
  </si>
  <si>
    <t>Mar</t>
  </si>
  <si>
    <t>Apr</t>
  </si>
  <si>
    <t>May</t>
  </si>
  <si>
    <t>Jun</t>
  </si>
  <si>
    <t>Jul</t>
  </si>
  <si>
    <t>Aug</t>
  </si>
  <si>
    <t>Sep</t>
  </si>
  <si>
    <t>Oct</t>
  </si>
  <si>
    <t>Nov</t>
  </si>
  <si>
    <t>Dec</t>
  </si>
  <si>
    <t xml:space="preserve">    Season average BMSCC (x 1,000 cells/mL)</t>
  </si>
  <si>
    <t>Dry period and the month the herd is milked</t>
  </si>
  <si>
    <t>August</t>
  </si>
  <si>
    <t>September</t>
  </si>
  <si>
    <t>October</t>
  </si>
  <si>
    <t>November</t>
  </si>
  <si>
    <t>December</t>
  </si>
  <si>
    <t>January</t>
  </si>
  <si>
    <t>February</t>
  </si>
  <si>
    <t>March</t>
  </si>
  <si>
    <t>April</t>
  </si>
  <si>
    <t>Total number of cases of clinical mastitis from start of 
dry period to the end of milking</t>
  </si>
  <si>
    <r>
      <rPr>
        <b/>
        <sz val="11"/>
        <color indexed="8"/>
        <rFont val="Arial"/>
        <family val="2"/>
      </rPr>
      <t>Name of antibiotic products used</t>
    </r>
    <r>
      <rPr>
        <sz val="11"/>
        <color indexed="8"/>
        <rFont val="Arial"/>
        <family val="2"/>
      </rPr>
      <t xml:space="preserve"> 
</t>
    </r>
    <r>
      <rPr>
        <sz val="10"/>
        <color indexed="8"/>
        <rFont val="Arial"/>
        <family val="2"/>
      </rPr>
      <t>(assume same both seasons)</t>
    </r>
  </si>
  <si>
    <t>% cases 
product used</t>
  </si>
  <si>
    <t>Cost of 
1 course</t>
  </si>
  <si>
    <t>Production lost due to subclinical mastitis ($)</t>
  </si>
  <si>
    <t>Clinical mastitis case rate in dry period (%)</t>
  </si>
  <si>
    <t>Clinical mastitis case rate in lactation (%)</t>
  </si>
  <si>
    <t>Value placed on antibiotic milk ($/l)</t>
  </si>
  <si>
    <t>Discarded milk losses ($)</t>
  </si>
  <si>
    <t>Treatment costs ($)</t>
  </si>
  <si>
    <t>Production loss following discard ($)</t>
  </si>
  <si>
    <t>Labour costs ($)</t>
  </si>
  <si>
    <t>Cost of additional replacements (including cull value) ($)</t>
  </si>
  <si>
    <t>Indirect losses due to lower production of replacements ($)</t>
  </si>
  <si>
    <t>Lost milk production from dead cows ($)</t>
  </si>
  <si>
    <t>Lost milk production from cows culled early ($)</t>
  </si>
  <si>
    <t>Feed cost savings from cows culled early ($)</t>
  </si>
  <si>
    <t xml:space="preserve">SmartSAMM Cost of Mastitis Gap Calculator </t>
  </si>
  <si>
    <t>SmartSAMM Cost of Mastitis Gap Calculator</t>
  </si>
  <si>
    <t>Summary of Economic Benefits from Achieving Mastitis Control Targets</t>
  </si>
  <si>
    <t>&lt; BACK</t>
  </si>
  <si>
    <r>
      <rPr>
        <b/>
        <sz val="11"/>
        <color indexed="8"/>
        <rFont val="Arial"/>
        <family val="2"/>
      </rPr>
      <t xml:space="preserve">Season average BMSCC      </t>
    </r>
    <r>
      <rPr>
        <sz val="11"/>
        <color indexed="8"/>
        <rFont val="Arial"/>
        <family val="2"/>
      </rPr>
      <t xml:space="preserve">
(x 1,000 cells/mL)</t>
    </r>
  </si>
  <si>
    <t>Overall clinical mastitis 
case rate</t>
  </si>
  <si>
    <t>Culling and death rate 
due to mastitis</t>
  </si>
  <si>
    <t xml:space="preserve"> It was developed by Cognosco, Animal Health Centre, Morrinsville in association with the National Mastitis Advisory Committee. </t>
  </si>
  <si>
    <t>Select a Gap Calculator you wish to use:</t>
  </si>
  <si>
    <t>Average length of lactation (d)</t>
  </si>
  <si>
    <t>Total number cows &amp; heifers over dry period</t>
  </si>
  <si>
    <t>Indirect losses due to effects of mastitis on other diseases ($)</t>
  </si>
  <si>
    <t>- Indirect losses due to effects of clinical mastitis on other diseases ($)</t>
  </si>
  <si>
    <t>My advisor</t>
  </si>
  <si>
    <t>My advisor's business</t>
  </si>
  <si>
    <t>My herd owner</t>
  </si>
  <si>
    <t>My herd</t>
  </si>
  <si>
    <t>Number of cow milking days temporarily withheld due to high BMSCC</t>
  </si>
  <si>
    <r>
      <rPr>
        <sz val="11"/>
        <color indexed="8"/>
        <rFont val="Wingdings"/>
        <family val="0"/>
      </rPr>
      <t></t>
    </r>
    <r>
      <rPr>
        <sz val="11"/>
        <color indexed="8"/>
        <rFont val="Arial"/>
        <family val="2"/>
      </rPr>
      <t xml:space="preserve">  This Calculator estimates the potential economic benefits of 'closing the gap' between your herd's actual performance and your target performance, in relation to mastitis and milk quality</t>
    </r>
  </si>
  <si>
    <r>
      <rPr>
        <sz val="11"/>
        <color indexed="8"/>
        <rFont val="Wingdings"/>
        <family val="0"/>
      </rPr>
      <t></t>
    </r>
    <r>
      <rPr>
        <sz val="11"/>
        <color indexed="8"/>
        <rFont val="Arial"/>
        <family val="2"/>
      </rPr>
      <t xml:space="preserve">  It makes no allowance for the marginal costs of achieving the target performance</t>
    </r>
  </si>
  <si>
    <r>
      <rPr>
        <sz val="11"/>
        <color indexed="8"/>
        <rFont val="Wingdings"/>
        <family val="0"/>
      </rPr>
      <t></t>
    </r>
    <r>
      <rPr>
        <sz val="11"/>
        <color indexed="8"/>
        <rFont val="Arial"/>
        <family val="2"/>
      </rPr>
      <t xml:space="preserve">  Three levels of analysis (Basic, Intermediate and Advanced) are provided</t>
    </r>
  </si>
  <si>
    <r>
      <rPr>
        <sz val="11"/>
        <color indexed="8"/>
        <rFont val="Wingdings"/>
        <family val="0"/>
      </rPr>
      <t></t>
    </r>
    <r>
      <rPr>
        <sz val="11"/>
        <color indexed="8"/>
        <rFont val="Arial"/>
        <family val="2"/>
      </rPr>
      <t xml:space="preserve">  Start with the "Basic" Calculator, and progress to the "Intermediate" and "Advanced" if more detailed analysis is required</t>
    </r>
  </si>
  <si>
    <r>
      <rPr>
        <sz val="11"/>
        <color indexed="8"/>
        <rFont val="Wingdings"/>
        <family val="0"/>
      </rPr>
      <t></t>
    </r>
    <r>
      <rPr>
        <sz val="11"/>
        <color indexed="8"/>
        <rFont val="Arial"/>
        <family val="2"/>
      </rPr>
      <t xml:space="preserve">  Most entered data will carry forward to the next level</t>
    </r>
  </si>
  <si>
    <r>
      <rPr>
        <sz val="11"/>
        <color indexed="8"/>
        <rFont val="Wingdings"/>
        <family val="0"/>
      </rPr>
      <t></t>
    </r>
    <r>
      <rPr>
        <sz val="11"/>
        <color indexed="8"/>
        <rFont val="Arial"/>
        <family val="2"/>
      </rPr>
      <t xml:space="preserve">  Enter data in the </t>
    </r>
    <r>
      <rPr>
        <b/>
        <sz val="11"/>
        <color indexed="8"/>
        <rFont val="Arial"/>
        <family val="2"/>
      </rPr>
      <t>white</t>
    </r>
    <r>
      <rPr>
        <sz val="11"/>
        <color indexed="8"/>
        <rFont val="Arial"/>
        <family val="2"/>
      </rPr>
      <t xml:space="preserve"> cells.  Use the mouse or keyboard tab button to navigate between these cells</t>
    </r>
  </si>
  <si>
    <t>This work has been funded by NZ dairy farmers through DairyNZ, and by the MAF Sustainable Farming Fund.</t>
  </si>
  <si>
    <t xml:space="preserve">Definitions: </t>
  </si>
  <si>
    <t>Actual Performance uses numbers relating to the previous or current season</t>
  </si>
  <si>
    <t>Target Performance uses numbers relating to the desired performance</t>
  </si>
  <si>
    <t>Date of 'gap' calculations</t>
  </si>
  <si>
    <t>Actual performance</t>
  </si>
  <si>
    <t>Industry top 10% performance</t>
  </si>
  <si>
    <t>Gap between actual and target ($)</t>
  </si>
  <si>
    <t>Industry top 10%  performance</t>
  </si>
  <si>
    <t>Value ($/L) of antibiotic milk with target season payout (calculated as $/kgMS x MS%)</t>
  </si>
  <si>
    <t>SmartSAMM Gap Calculator</t>
  </si>
  <si>
    <t>Welcome to the</t>
  </si>
  <si>
    <t>Expected milk price, number of cows and heifers calved, herd production to processor, season average bulk milk SCC, number of cases treated for clinical mastitis in dry period and milking season, number of cows culled and/or died due directly to mastitis</t>
  </si>
  <si>
    <t>This requires:</t>
  </si>
  <si>
    <t>Number of cases treated for clinical mastitis by month, the two most commonly-used antibiotic treatments and their cost</t>
  </si>
  <si>
    <t xml:space="preserve">As for Basic plus: </t>
  </si>
  <si>
    <t>Information on cows dried off or culled early, or had milk temporarily withheld from supply due to high cell count, management of antibiotic milk, labour costs, and value of replacement and cull cows</t>
  </si>
  <si>
    <t xml:space="preserve">As for Inter-mediate plus: </t>
  </si>
  <si>
    <t>Expected milk price ($/kg MS)</t>
  </si>
  <si>
    <t>Number of cows dried off early due to high ICSCC (but not culled)</t>
  </si>
  <si>
    <t>Average number of months cows dried off early due to high ICSCC</t>
  </si>
  <si>
    <t>Production losses from early dry-off &amp; temporary withhold of milk from high ICSCC cows ($)</t>
  </si>
  <si>
    <t>DairyNZ Limited</t>
  </si>
  <si>
    <t>All rights reserved © DairyNZ Limited 2011</t>
  </si>
  <si>
    <t>Copyright: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</si>
</sst>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quot;$&quot;* #,##0_-;\-&quot;$&quot;* #,##0_-;_-&quot;$&quot;* &quot;-&quot;??_-;_-@_-"/>
    <numFmt numFmtId="166" formatCode="0.0"/>
    <numFmt numFmtId="167" formatCode="[$-F800]dddd\,\ mmmm\ dd\,\ yyyy"/>
    <numFmt numFmtId="168" formatCode="&quot;$&quot;#,##0.00"/>
    <numFmt numFmtId="169" formatCode="&quot;$&quot;#,##0"/>
    <numFmt numFmtId="170" formatCode="[$-1409]dddd\,\ d\ mmmm\ yyyy"/>
    <numFmt numFmtId="171" formatCode="[$-1409]h:mm:ss\ AM/PM"/>
    <numFmt numFmtId="172" formatCode="_-* #,##0.0_-;\-* #,##0.0_-;_-* &quot;-&quot;??_-;_-@_-"/>
    <numFmt numFmtId="173" formatCode="_-* #,##0_-;\-* #,##0_-;_-* &quot;-&quot;??_-;_-@_-"/>
    <numFmt numFmtId="174" formatCode="0.000"/>
    <numFmt numFmtId="175" formatCode="&quot;$&quot;#,##0.0"/>
    <numFmt numFmtId="176" formatCode="_-&quot;$&quot;* #,##0.0_-;\-&quot;$&quot;* #,##0.0_-;_-&quot;$&quot;* &quot;-&quot;??_-;_-@_-"/>
  </numFmts>
  <fonts count="77">
    <font>
      <sz val="11"/>
      <color theme="1"/>
      <name val="Calibri"/>
      <family val="2"/>
    </font>
    <font>
      <sz val="11"/>
      <color indexed="8"/>
      <name val="Calibri"/>
      <family val="2"/>
    </font>
    <font>
      <sz val="10"/>
      <color indexed="8"/>
      <name val="Arial"/>
      <family val="2"/>
    </font>
    <font>
      <sz val="11"/>
      <color indexed="8"/>
      <name val="Arial"/>
      <family val="2"/>
    </font>
    <font>
      <b/>
      <sz val="11"/>
      <color indexed="8"/>
      <name val="Arial"/>
      <family val="2"/>
    </font>
    <font>
      <b/>
      <sz val="11"/>
      <name val="Arial"/>
      <family val="2"/>
    </font>
    <font>
      <sz val="11"/>
      <color indexed="8"/>
      <name val="Wingdings"/>
      <family val="0"/>
    </font>
    <font>
      <sz val="10"/>
      <color indexed="8"/>
      <name val="Calibri"/>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name val="Calibri"/>
      <family val="2"/>
    </font>
    <font>
      <b/>
      <i/>
      <sz val="18"/>
      <color indexed="53"/>
      <name val="Arial"/>
      <family val="2"/>
    </font>
    <font>
      <b/>
      <i/>
      <sz val="11"/>
      <color indexed="53"/>
      <name val="Arial"/>
      <family val="2"/>
    </font>
    <font>
      <i/>
      <sz val="11"/>
      <color indexed="8"/>
      <name val="Arial"/>
      <family val="2"/>
    </font>
    <font>
      <sz val="11"/>
      <color indexed="9"/>
      <name val="Arial"/>
      <family val="2"/>
    </font>
    <font>
      <b/>
      <sz val="10.5"/>
      <color indexed="9"/>
      <name val="Arial"/>
      <family val="2"/>
    </font>
    <font>
      <b/>
      <i/>
      <sz val="11"/>
      <color indexed="9"/>
      <name val="Arial"/>
      <family val="2"/>
    </font>
    <font>
      <sz val="14"/>
      <color indexed="8"/>
      <name val="Arial"/>
      <family val="2"/>
    </font>
    <font>
      <b/>
      <i/>
      <sz val="14"/>
      <color indexed="53"/>
      <name val="Arial"/>
      <family val="2"/>
    </font>
    <font>
      <b/>
      <sz val="14"/>
      <color indexed="53"/>
      <name val="Arial"/>
      <family val="2"/>
    </font>
    <font>
      <b/>
      <sz val="18"/>
      <color indexed="9"/>
      <name val="Arial"/>
      <family val="2"/>
    </font>
    <font>
      <b/>
      <i/>
      <sz val="12"/>
      <color indexed="53"/>
      <name val="Arial"/>
      <family val="2"/>
    </font>
    <font>
      <b/>
      <sz val="22"/>
      <color indexed="53"/>
      <name val="Arial"/>
      <family val="2"/>
    </font>
    <font>
      <b/>
      <i/>
      <sz val="10"/>
      <color indexed="53"/>
      <name val="Arial"/>
      <family val="2"/>
    </font>
    <font>
      <b/>
      <u val="single"/>
      <sz val="11"/>
      <color indexed="53"/>
      <name val="Arial"/>
      <family val="2"/>
    </font>
    <font>
      <b/>
      <i/>
      <sz val="12"/>
      <color indexed="9"/>
      <name val="Arial"/>
      <family val="2"/>
    </font>
    <font>
      <sz val="8"/>
      <name val="Tahoma"/>
      <family val="2"/>
    </font>
    <font>
      <b/>
      <sz val="14"/>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i/>
      <sz val="18"/>
      <color rgb="FFE06C08"/>
      <name val="Arial"/>
      <family val="2"/>
    </font>
    <font>
      <b/>
      <i/>
      <sz val="11"/>
      <color rgb="FFE06C08"/>
      <name val="Arial"/>
      <family val="2"/>
    </font>
    <font>
      <i/>
      <sz val="11"/>
      <color theme="1"/>
      <name val="Arial"/>
      <family val="2"/>
    </font>
    <font>
      <b/>
      <sz val="11"/>
      <color theme="1"/>
      <name val="Arial"/>
      <family val="2"/>
    </font>
    <font>
      <sz val="11"/>
      <color theme="0"/>
      <name val="Arial"/>
      <family val="2"/>
    </font>
    <font>
      <b/>
      <sz val="10.5"/>
      <color theme="0"/>
      <name val="Arial"/>
      <family val="2"/>
    </font>
    <font>
      <b/>
      <i/>
      <sz val="11"/>
      <color theme="0"/>
      <name val="Arial"/>
      <family val="2"/>
    </font>
    <font>
      <sz val="14"/>
      <color theme="1"/>
      <name val="Arial"/>
      <family val="2"/>
    </font>
    <font>
      <b/>
      <i/>
      <sz val="14"/>
      <color rgb="FFE06C08"/>
      <name val="Arial"/>
      <family val="2"/>
    </font>
    <font>
      <b/>
      <sz val="14"/>
      <color rgb="FFE06C08"/>
      <name val="Arial"/>
      <family val="2"/>
    </font>
    <font>
      <b/>
      <sz val="18"/>
      <color rgb="FFFFFFFF"/>
      <name val="Arial"/>
      <family val="2"/>
    </font>
    <font>
      <b/>
      <sz val="10.5"/>
      <color rgb="FFFFFFFF"/>
      <name val="Arial"/>
      <family val="2"/>
    </font>
    <font>
      <b/>
      <i/>
      <sz val="12"/>
      <color rgb="FFE36F1E"/>
      <name val="Arial"/>
      <family val="2"/>
    </font>
    <font>
      <b/>
      <sz val="22"/>
      <color rgb="FFE36F1E"/>
      <name val="Arial"/>
      <family val="2"/>
    </font>
    <font>
      <b/>
      <i/>
      <sz val="10"/>
      <color rgb="FFE36F1E"/>
      <name val="Arial"/>
      <family val="2"/>
    </font>
    <font>
      <b/>
      <i/>
      <sz val="18"/>
      <color rgb="FFE36F1E"/>
      <name val="Arial"/>
      <family val="2"/>
    </font>
    <font>
      <b/>
      <u val="single"/>
      <sz val="11"/>
      <color rgb="FFE06C08"/>
      <name val="Arial"/>
      <family val="2"/>
    </font>
    <font>
      <b/>
      <i/>
      <sz val="12"/>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9" tint="-0.24997000396251678"/>
        <bgColor indexed="64"/>
      </patternFill>
    </fill>
    <fill>
      <patternFill patternType="solid">
        <fgColor rgb="FFFBC99F"/>
        <bgColor indexed="64"/>
      </patternFill>
    </fill>
    <fill>
      <patternFill patternType="solid">
        <fgColor rgb="FFFEF4EC"/>
        <bgColor indexed="64"/>
      </patternFill>
    </fill>
    <fill>
      <patternFill patternType="solid">
        <fgColor rgb="FFE06C08"/>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bottom/>
    </border>
    <border>
      <left style="thin">
        <color indexed="22"/>
      </left>
      <right style="thin">
        <color indexed="22"/>
      </right>
      <top/>
      <bottom/>
    </border>
    <border>
      <left style="thin">
        <color indexed="8"/>
      </left>
      <right/>
      <top/>
      <bottom/>
    </border>
    <border>
      <left style="hair">
        <color theme="0" tint="-0.3499799966812134"/>
      </left>
      <right style="hair">
        <color theme="0" tint="-0.3499799966812134"/>
      </right>
      <top style="hair">
        <color theme="0" tint="-0.3499799966812134"/>
      </top>
      <bottom style="hair">
        <color theme="0" tint="-0.3499799966812134"/>
      </bottom>
    </border>
    <border>
      <left/>
      <right/>
      <top style="hair">
        <color theme="0" tint="-0.3499799966812134"/>
      </top>
      <bottom/>
    </border>
    <border>
      <left/>
      <right style="hair">
        <color theme="0" tint="-0.24997000396251678"/>
      </right>
      <top/>
      <bottom/>
    </border>
    <border>
      <left style="hair">
        <color theme="0" tint="-0.24997000396251678"/>
      </left>
      <right style="hair">
        <color theme="0" tint="-0.24997000396251678"/>
      </right>
      <top/>
      <bottom/>
    </border>
    <border>
      <left style="hair">
        <color theme="0" tint="-0.24997000396251678"/>
      </left>
      <right style="hair">
        <color theme="0" tint="-0.24997000396251678"/>
      </right>
      <top style="hair">
        <color theme="0" tint="-0.24997000396251678"/>
      </top>
      <bottom style="hair">
        <color theme="0" tint="-0.24997000396251678"/>
      </bottom>
    </border>
    <border>
      <left style="hair">
        <color theme="0" tint="-0.24997000396251678"/>
      </left>
      <right/>
      <top style="hair">
        <color theme="0" tint="-0.24997000396251678"/>
      </top>
      <bottom style="hair">
        <color theme="0" tint="-0.24997000396251678"/>
      </bottom>
    </border>
    <border>
      <left style="hair">
        <color theme="0" tint="-0.24997000396251678"/>
      </left>
      <right/>
      <top/>
      <bottom/>
    </border>
    <border>
      <left/>
      <right style="hair">
        <color theme="0" tint="-0.24997000396251678"/>
      </right>
      <top style="hair">
        <color theme="0" tint="-0.24997000396251678"/>
      </top>
      <bottom style="hair">
        <color theme="0" tint="-0.24997000396251678"/>
      </bottom>
    </border>
    <border>
      <left/>
      <right/>
      <top style="hair">
        <color theme="0" tint="-0.24997000396251678"/>
      </top>
      <bottom/>
    </border>
    <border>
      <left/>
      <right/>
      <top/>
      <bottom style="hair">
        <color theme="0" tint="-0.24997000396251678"/>
      </bottom>
    </border>
    <border>
      <left style="hair">
        <color theme="0" tint="-0.24997000396251678"/>
      </left>
      <right style="hair">
        <color theme="0" tint="-0.24997000396251678"/>
      </right>
      <top style="hair">
        <color theme="0" tint="-0.24997000396251678"/>
      </top>
      <bottom/>
    </border>
    <border>
      <left/>
      <right/>
      <top style="hair">
        <color theme="0" tint="-0.24997000396251678"/>
      </top>
      <bottom style="hair">
        <color theme="0" tint="-0.24997000396251678"/>
      </bottom>
    </border>
    <border>
      <left/>
      <right/>
      <top/>
      <bottom style="thin"/>
    </border>
    <border>
      <left style="hair">
        <color theme="0" tint="-0.3499799966812134"/>
      </left>
      <right style="hair">
        <color theme="0" tint="-0.24997000396251678"/>
      </right>
      <top style="hair">
        <color theme="0" tint="-0.3499799966812134"/>
      </top>
      <bottom style="hair">
        <color theme="0" tint="-0.3499799966812134"/>
      </bottom>
    </border>
    <border>
      <left style="hair">
        <color theme="0" tint="-0.3499799966812134"/>
      </left>
      <right/>
      <top style="hair">
        <color theme="0" tint="-0.3499799966812134"/>
      </top>
      <bottom style="hair">
        <color theme="0" tint="-0.3499799966812134"/>
      </bottom>
    </border>
    <border>
      <left/>
      <right/>
      <top style="hair">
        <color theme="0" tint="-0.3499799966812134"/>
      </top>
      <bottom style="hair">
        <color theme="0" tint="-0.3499799966812134"/>
      </bottom>
    </border>
    <border>
      <left/>
      <right style="hair">
        <color theme="0" tint="-0.3499799966812134"/>
      </right>
      <top style="hair">
        <color theme="0" tint="-0.3499799966812134"/>
      </top>
      <bottom style="hair">
        <color theme="0" tint="-0.3499799966812134"/>
      </bottom>
    </border>
    <border>
      <left style="hair">
        <color theme="0" tint="-0.24997000396251678"/>
      </left>
      <right/>
      <top style="hair">
        <color theme="0" tint="-0.3499799966812134"/>
      </top>
      <bottom style="hair">
        <color theme="0" tint="-0.3499799966812134"/>
      </bottom>
    </border>
    <border>
      <left/>
      <right style="hair">
        <color theme="0" tint="-0.24997000396251678"/>
      </right>
      <top style="hair">
        <color theme="0" tint="-0.3499799966812134"/>
      </top>
      <bottom style="hair">
        <color theme="0" tint="-0.34997999668121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2"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02">
    <xf numFmtId="0" fontId="0" fillId="0" borderId="0" xfId="0" applyFont="1" applyAlignment="1">
      <alignment/>
    </xf>
    <xf numFmtId="0" fontId="0" fillId="0" borderId="0" xfId="0" applyAlignment="1">
      <alignment wrapText="1"/>
    </xf>
    <xf numFmtId="0" fontId="0" fillId="0" borderId="0" xfId="0" applyAlignment="1" quotePrefix="1">
      <alignment/>
    </xf>
    <xf numFmtId="0" fontId="0" fillId="0" borderId="0" xfId="0" applyAlignment="1" quotePrefix="1">
      <alignment wrapText="1"/>
    </xf>
    <xf numFmtId="0" fontId="0" fillId="0" borderId="0" xfId="0" applyFill="1" applyAlignment="1">
      <alignment/>
    </xf>
    <xf numFmtId="0" fontId="56" fillId="0" borderId="0" xfId="0" applyFont="1" applyAlignment="1">
      <alignment wrapText="1"/>
    </xf>
    <xf numFmtId="0" fontId="56" fillId="0" borderId="0" xfId="0" applyFont="1" applyAlignment="1">
      <alignment/>
    </xf>
    <xf numFmtId="9" fontId="0" fillId="0" borderId="0" xfId="58" applyFont="1" applyAlignment="1">
      <alignment/>
    </xf>
    <xf numFmtId="44" fontId="0" fillId="0" borderId="0" xfId="0" applyNumberFormat="1" applyAlignment="1">
      <alignment/>
    </xf>
    <xf numFmtId="9" fontId="0" fillId="0" borderId="0" xfId="0" applyNumberFormat="1" applyAlignment="1">
      <alignment/>
    </xf>
    <xf numFmtId="165" fontId="0" fillId="0" borderId="0" xfId="44" applyNumberFormat="1" applyFont="1" applyAlignment="1">
      <alignment/>
    </xf>
    <xf numFmtId="165" fontId="0" fillId="0" borderId="0" xfId="0" applyNumberFormat="1" applyAlignment="1">
      <alignment/>
    </xf>
    <xf numFmtId="0" fontId="1" fillId="33" borderId="10" xfId="55" applyFont="1" applyFill="1" applyBorder="1" applyAlignment="1">
      <alignment horizontal="center"/>
      <protection/>
    </xf>
    <xf numFmtId="0" fontId="1" fillId="0" borderId="11" xfId="55" applyFont="1" applyFill="1" applyBorder="1" applyAlignment="1">
      <alignment horizontal="right"/>
      <protection/>
    </xf>
    <xf numFmtId="0" fontId="1" fillId="0" borderId="11" xfId="55" applyFont="1" applyFill="1" applyBorder="1" applyAlignment="1">
      <alignment/>
      <protection/>
    </xf>
    <xf numFmtId="0" fontId="2" fillId="0" borderId="0" xfId="55" applyAlignment="1">
      <alignment/>
      <protection/>
    </xf>
    <xf numFmtId="0" fontId="2" fillId="0" borderId="11" xfId="55" applyBorder="1" applyAlignment="1">
      <alignment/>
      <protection/>
    </xf>
    <xf numFmtId="0" fontId="1" fillId="0" borderId="0" xfId="55" applyFont="1" applyFill="1" applyAlignment="1">
      <alignment horizontal="right"/>
      <protection/>
    </xf>
    <xf numFmtId="0" fontId="1" fillId="33" borderId="12" xfId="55" applyFont="1" applyFill="1" applyBorder="1" applyAlignment="1">
      <alignment horizontal="center"/>
      <protection/>
    </xf>
    <xf numFmtId="0" fontId="1" fillId="0" borderId="13" xfId="55" applyFont="1" applyFill="1" applyBorder="1" applyAlignment="1">
      <alignment horizontal="right"/>
      <protection/>
    </xf>
    <xf numFmtId="0" fontId="1" fillId="33" borderId="14" xfId="55" applyFont="1" applyFill="1" applyBorder="1" applyAlignment="1">
      <alignment horizontal="center"/>
      <protection/>
    </xf>
    <xf numFmtId="164" fontId="0" fillId="0" borderId="0" xfId="58" applyNumberFormat="1" applyFont="1" applyAlignment="1">
      <alignment/>
    </xf>
    <xf numFmtId="0" fontId="0" fillId="0" borderId="0" xfId="0" applyAlignment="1">
      <alignment/>
    </xf>
    <xf numFmtId="0" fontId="56" fillId="0" borderId="0" xfId="0" applyFont="1" applyAlignment="1" quotePrefix="1">
      <alignment/>
    </xf>
    <xf numFmtId="0" fontId="0" fillId="0" borderId="0" xfId="0" applyFont="1" applyAlignment="1">
      <alignment/>
    </xf>
    <xf numFmtId="0" fontId="56" fillId="0" borderId="0" xfId="0" applyFont="1" applyAlignment="1" quotePrefix="1">
      <alignment wrapText="1"/>
    </xf>
    <xf numFmtId="0" fontId="0" fillId="0" borderId="0" xfId="0" applyFill="1" applyBorder="1" applyAlignment="1">
      <alignment/>
    </xf>
    <xf numFmtId="0" fontId="56" fillId="0" borderId="0" xfId="0" applyFont="1" applyAlignment="1">
      <alignment horizontal="center" wrapText="1"/>
    </xf>
    <xf numFmtId="1" fontId="0" fillId="0" borderId="0" xfId="0" applyNumberFormat="1" applyAlignment="1">
      <alignment/>
    </xf>
    <xf numFmtId="0" fontId="0" fillId="0" borderId="0" xfId="0" applyAlignment="1" applyProtection="1">
      <alignment/>
      <protection locked="0"/>
    </xf>
    <xf numFmtId="166" fontId="0" fillId="0" borderId="0" xfId="0" applyNumberFormat="1" applyFill="1" applyAlignment="1">
      <alignment/>
    </xf>
    <xf numFmtId="44" fontId="0" fillId="0" borderId="0" xfId="44" applyFont="1" applyAlignment="1">
      <alignment/>
    </xf>
    <xf numFmtId="17" fontId="0" fillId="0" borderId="0" xfId="0" applyNumberFormat="1" applyAlignment="1">
      <alignment/>
    </xf>
    <xf numFmtId="167" fontId="0" fillId="0" borderId="0" xfId="0" applyNumberFormat="1" applyAlignment="1">
      <alignment/>
    </xf>
    <xf numFmtId="0" fontId="1" fillId="0" borderId="11" xfId="55" applyFont="1" applyFill="1" applyBorder="1" applyAlignment="1">
      <alignment/>
      <protection/>
    </xf>
    <xf numFmtId="0" fontId="1" fillId="0" borderId="0" xfId="55" applyFont="1" applyFill="1" applyBorder="1" applyAlignment="1">
      <alignment horizontal="right"/>
      <protection/>
    </xf>
    <xf numFmtId="0" fontId="1" fillId="0" borderId="0" xfId="55" applyFont="1" applyFill="1" applyBorder="1" applyAlignment="1">
      <alignment/>
      <protection/>
    </xf>
    <xf numFmtId="0" fontId="1" fillId="0" borderId="0" xfId="55" applyFont="1" applyFill="1" applyBorder="1" applyAlignment="1">
      <alignment/>
      <protection/>
    </xf>
    <xf numFmtId="0" fontId="0" fillId="0" borderId="0" xfId="0" applyNumberFormat="1" applyAlignment="1">
      <alignment/>
    </xf>
    <xf numFmtId="164" fontId="0" fillId="0" borderId="0" xfId="58" applyNumberFormat="1" applyFont="1" applyFill="1" applyAlignment="1">
      <alignment/>
    </xf>
    <xf numFmtId="9" fontId="0" fillId="0" borderId="0" xfId="58" applyFont="1" applyFill="1" applyAlignment="1">
      <alignment/>
    </xf>
    <xf numFmtId="9" fontId="0" fillId="0" borderId="0" xfId="0" applyNumberFormat="1" applyFill="1" applyAlignment="1">
      <alignment/>
    </xf>
    <xf numFmtId="0" fontId="24" fillId="0" borderId="0" xfId="0" applyFont="1" applyFill="1" applyAlignment="1">
      <alignment/>
    </xf>
    <xf numFmtId="44" fontId="24" fillId="0" borderId="0" xfId="44" applyFont="1" applyFill="1" applyAlignment="1" applyProtection="1">
      <alignment/>
      <protection locked="0"/>
    </xf>
    <xf numFmtId="9" fontId="0" fillId="0" borderId="0" xfId="0" applyNumberFormat="1" applyFill="1" applyAlignment="1" applyProtection="1">
      <alignment/>
      <protection locked="0"/>
    </xf>
    <xf numFmtId="0" fontId="24" fillId="0" borderId="0" xfId="0" applyFont="1" applyFill="1" applyAlignment="1">
      <alignment wrapText="1"/>
    </xf>
    <xf numFmtId="165" fontId="24" fillId="0" borderId="0" xfId="44" applyNumberFormat="1" applyFont="1" applyFill="1" applyAlignment="1" applyProtection="1">
      <alignment horizontal="center"/>
      <protection locked="0"/>
    </xf>
    <xf numFmtId="0" fontId="24" fillId="0" borderId="0" xfId="0" applyFont="1" applyFill="1" applyAlignment="1">
      <alignment horizontal="left"/>
    </xf>
    <xf numFmtId="9" fontId="0" fillId="0" borderId="0" xfId="0" applyNumberFormat="1" applyFill="1" applyAlignment="1" applyProtection="1">
      <alignment/>
      <protection/>
    </xf>
    <xf numFmtId="0" fontId="0" fillId="0" borderId="0" xfId="0" applyFill="1" applyAlignment="1">
      <alignment wrapText="1"/>
    </xf>
    <xf numFmtId="164" fontId="0" fillId="0" borderId="0" xfId="0" applyNumberFormat="1" applyFill="1" applyAlignment="1">
      <alignment/>
    </xf>
    <xf numFmtId="44" fontId="0" fillId="0" borderId="0" xfId="44" applyFont="1" applyFill="1" applyAlignment="1">
      <alignment/>
    </xf>
    <xf numFmtId="44" fontId="0" fillId="0" borderId="0" xfId="44" applyFont="1" applyFill="1" applyAlignment="1">
      <alignment/>
    </xf>
    <xf numFmtId="0" fontId="0" fillId="34" borderId="0" xfId="0" applyFill="1" applyAlignment="1">
      <alignment/>
    </xf>
    <xf numFmtId="0" fontId="0" fillId="35" borderId="0" xfId="0" applyFont="1" applyFill="1" applyBorder="1" applyAlignment="1">
      <alignment vertical="center"/>
    </xf>
    <xf numFmtId="0" fontId="0" fillId="35" borderId="0" xfId="0" applyFill="1" applyAlignment="1">
      <alignment/>
    </xf>
    <xf numFmtId="0" fontId="58" fillId="35" borderId="0" xfId="0" applyFont="1" applyFill="1" applyBorder="1" applyAlignment="1">
      <alignment vertical="center"/>
    </xf>
    <xf numFmtId="0" fontId="58" fillId="35" borderId="0" xfId="0" applyFont="1" applyFill="1" applyAlignment="1">
      <alignment/>
    </xf>
    <xf numFmtId="0" fontId="59" fillId="35" borderId="0" xfId="0" applyFont="1" applyFill="1" applyBorder="1" applyAlignment="1">
      <alignment/>
    </xf>
    <xf numFmtId="0" fontId="58" fillId="35" borderId="0" xfId="0" applyFont="1" applyFill="1" applyAlignment="1">
      <alignment/>
    </xf>
    <xf numFmtId="0" fontId="58" fillId="35" borderId="0" xfId="0" applyFont="1" applyFill="1" applyBorder="1" applyAlignment="1">
      <alignment/>
    </xf>
    <xf numFmtId="0" fontId="60" fillId="35" borderId="0" xfId="0" applyFont="1" applyFill="1" applyBorder="1" applyAlignment="1">
      <alignment/>
    </xf>
    <xf numFmtId="0" fontId="61" fillId="35" borderId="0" xfId="0" applyFont="1" applyFill="1" applyBorder="1" applyAlignment="1">
      <alignment vertical="center"/>
    </xf>
    <xf numFmtId="0" fontId="58" fillId="35" borderId="0" xfId="0" applyFont="1" applyFill="1" applyBorder="1" applyAlignment="1" applyProtection="1">
      <alignment/>
      <protection/>
    </xf>
    <xf numFmtId="0" fontId="0" fillId="35" borderId="0" xfId="0" applyFill="1" applyAlignment="1" applyProtection="1">
      <alignment/>
      <protection/>
    </xf>
    <xf numFmtId="0" fontId="0" fillId="35" borderId="0" xfId="0" applyFont="1" applyFill="1" applyBorder="1" applyAlignment="1" applyProtection="1">
      <alignment vertical="center"/>
      <protection/>
    </xf>
    <xf numFmtId="0" fontId="0" fillId="35" borderId="0" xfId="0" applyFill="1" applyBorder="1" applyAlignment="1">
      <alignment/>
    </xf>
    <xf numFmtId="0" fontId="62" fillId="35" borderId="0" xfId="0" applyFont="1" applyFill="1" applyBorder="1" applyAlignment="1">
      <alignment horizontal="left" vertical="center" indent="1"/>
    </xf>
    <xf numFmtId="0" fontId="42" fillId="35" borderId="0" xfId="0" applyFont="1" applyFill="1" applyAlignment="1">
      <alignment/>
    </xf>
    <xf numFmtId="0" fontId="62" fillId="34" borderId="15" xfId="0" applyFont="1" applyFill="1" applyBorder="1" applyAlignment="1">
      <alignment horizontal="left" vertical="center" indent="1"/>
    </xf>
    <xf numFmtId="0" fontId="62" fillId="35" borderId="0" xfId="0" applyFont="1" applyFill="1" applyBorder="1" applyAlignment="1" applyProtection="1">
      <alignment horizontal="left" vertical="center" indent="1"/>
      <protection/>
    </xf>
    <xf numFmtId="0" fontId="58" fillId="35" borderId="0" xfId="0" applyFont="1" applyFill="1" applyBorder="1" applyAlignment="1" applyProtection="1">
      <alignment horizontal="left" vertical="center" wrapText="1" indent="1"/>
      <protection/>
    </xf>
    <xf numFmtId="0" fontId="42" fillId="35" borderId="0" xfId="0" applyFont="1" applyFill="1" applyAlignment="1" applyProtection="1">
      <alignment/>
      <protection/>
    </xf>
    <xf numFmtId="14" fontId="58" fillId="35" borderId="0" xfId="0" applyNumberFormat="1" applyFont="1" applyFill="1" applyBorder="1" applyAlignment="1" applyProtection="1">
      <alignment horizontal="left" vertical="center" wrapText="1" indent="1"/>
      <protection/>
    </xf>
    <xf numFmtId="0" fontId="0" fillId="35" borderId="0" xfId="0" applyFont="1" applyFill="1" applyBorder="1" applyAlignment="1">
      <alignment horizontal="left" vertical="center" indent="1"/>
    </xf>
    <xf numFmtId="0" fontId="0" fillId="35" borderId="16" xfId="0" applyFont="1" applyFill="1" applyBorder="1" applyAlignment="1">
      <alignment vertical="center"/>
    </xf>
    <xf numFmtId="0" fontId="42" fillId="35" borderId="0" xfId="0" applyFont="1" applyFill="1" applyBorder="1" applyAlignment="1">
      <alignment/>
    </xf>
    <xf numFmtId="0" fontId="63" fillId="36" borderId="0" xfId="0" applyFont="1" applyFill="1" applyAlignment="1">
      <alignment/>
    </xf>
    <xf numFmtId="3" fontId="63" fillId="36" borderId="0" xfId="0" applyNumberFormat="1" applyFont="1" applyFill="1" applyAlignment="1" applyProtection="1">
      <alignment horizontal="center" wrapText="1"/>
      <protection/>
    </xf>
    <xf numFmtId="165" fontId="63" fillId="36" borderId="0" xfId="0" applyNumberFormat="1" applyFont="1" applyFill="1" applyAlignment="1">
      <alignment horizontal="center"/>
    </xf>
    <xf numFmtId="0" fontId="63" fillId="36" borderId="0" xfId="0" applyFont="1" applyFill="1" applyAlignment="1">
      <alignment horizontal="center"/>
    </xf>
    <xf numFmtId="0" fontId="63" fillId="36" borderId="0" xfId="0" applyFont="1" applyFill="1" applyAlignment="1" applyProtection="1">
      <alignment horizontal="center"/>
      <protection locked="0"/>
    </xf>
    <xf numFmtId="165" fontId="63" fillId="36" borderId="0" xfId="44" applyNumberFormat="1" applyFont="1" applyFill="1" applyAlignment="1">
      <alignment/>
    </xf>
    <xf numFmtId="165" fontId="63" fillId="36" borderId="0" xfId="0" applyNumberFormat="1" applyFont="1" applyFill="1" applyAlignment="1">
      <alignment/>
    </xf>
    <xf numFmtId="0" fontId="63" fillId="36" borderId="0" xfId="0" applyFont="1" applyFill="1" applyAlignment="1">
      <alignment horizontal="center"/>
    </xf>
    <xf numFmtId="0" fontId="63" fillId="36" borderId="0" xfId="0" applyFont="1" applyFill="1" applyAlignment="1" applyProtection="1">
      <alignment horizontal="center"/>
      <protection/>
    </xf>
    <xf numFmtId="0" fontId="63" fillId="36" borderId="0" xfId="0" applyFont="1" applyFill="1" applyAlignment="1">
      <alignment horizontal="center" wrapText="1"/>
    </xf>
    <xf numFmtId="9" fontId="63" fillId="36" borderId="0" xfId="58" applyFont="1" applyFill="1" applyAlignment="1">
      <alignment horizontal="center" wrapText="1"/>
    </xf>
    <xf numFmtId="9" fontId="63" fillId="36" borderId="0" xfId="0" applyNumberFormat="1" applyFont="1" applyFill="1" applyAlignment="1">
      <alignment/>
    </xf>
    <xf numFmtId="9" fontId="63" fillId="36" borderId="0" xfId="0" applyNumberFormat="1" applyFont="1" applyFill="1" applyAlignment="1" applyProtection="1">
      <alignment horizontal="center"/>
      <protection locked="0"/>
    </xf>
    <xf numFmtId="165" fontId="63" fillId="36" borderId="0" xfId="44" applyNumberFormat="1" applyFont="1" applyFill="1" applyAlignment="1" applyProtection="1">
      <alignment horizontal="center"/>
      <protection locked="0"/>
    </xf>
    <xf numFmtId="9" fontId="63" fillId="36" borderId="0" xfId="58" applyFont="1" applyFill="1" applyAlignment="1">
      <alignment horizontal="center"/>
    </xf>
    <xf numFmtId="44" fontId="63" fillId="36" borderId="0" xfId="0" applyNumberFormat="1" applyFont="1" applyFill="1" applyAlignment="1">
      <alignment/>
    </xf>
    <xf numFmtId="44" fontId="63" fillId="36" borderId="0" xfId="44" applyFont="1" applyFill="1" applyAlignment="1" applyProtection="1">
      <alignment/>
      <protection locked="0"/>
    </xf>
    <xf numFmtId="0" fontId="63" fillId="37" borderId="0" xfId="0" applyFont="1" applyFill="1" applyAlignment="1" applyProtection="1">
      <alignment horizontal="center"/>
      <protection locked="0"/>
    </xf>
    <xf numFmtId="165" fontId="63" fillId="36" borderId="0" xfId="44" applyNumberFormat="1" applyFont="1" applyFill="1" applyAlignment="1" applyProtection="1">
      <alignment horizontal="center"/>
      <protection/>
    </xf>
    <xf numFmtId="165" fontId="63" fillId="36" borderId="0" xfId="44" applyNumberFormat="1" applyFont="1" applyFill="1" applyAlignment="1">
      <alignment horizontal="center"/>
    </xf>
    <xf numFmtId="0" fontId="58" fillId="38" borderId="17" xfId="0" applyFont="1" applyFill="1" applyBorder="1" applyAlignment="1">
      <alignment horizontal="left" vertical="center" indent="1"/>
    </xf>
    <xf numFmtId="0" fontId="63" fillId="36" borderId="17" xfId="0" applyFont="1" applyFill="1" applyBorder="1" applyAlignment="1">
      <alignment horizontal="left" vertical="center" indent="1"/>
    </xf>
    <xf numFmtId="0" fontId="63" fillId="36" borderId="18" xfId="0" applyFont="1" applyFill="1" applyBorder="1" applyAlignment="1" applyProtection="1">
      <alignment horizontal="center" wrapText="1"/>
      <protection locked="0"/>
    </xf>
    <xf numFmtId="0" fontId="63" fillId="36" borderId="18" xfId="0" applyFont="1" applyFill="1" applyBorder="1" applyAlignment="1">
      <alignment/>
    </xf>
    <xf numFmtId="0" fontId="63" fillId="36" borderId="17" xfId="0" applyFont="1" applyFill="1" applyBorder="1" applyAlignment="1">
      <alignment/>
    </xf>
    <xf numFmtId="0" fontId="64" fillId="38" borderId="18" xfId="0" applyFont="1" applyFill="1" applyBorder="1" applyAlignment="1">
      <alignment horizontal="center" vertical="center" wrapText="1"/>
    </xf>
    <xf numFmtId="0" fontId="0" fillId="35" borderId="17" xfId="0" applyFill="1" applyBorder="1" applyAlignment="1">
      <alignment/>
    </xf>
    <xf numFmtId="3" fontId="58" fillId="35" borderId="19" xfId="0" applyNumberFormat="1" applyFont="1" applyFill="1" applyBorder="1" applyAlignment="1" applyProtection="1">
      <alignment horizontal="center" vertical="center" wrapText="1"/>
      <protection locked="0"/>
    </xf>
    <xf numFmtId="0" fontId="58" fillId="35" borderId="19" xfId="0" applyFont="1" applyFill="1" applyBorder="1" applyAlignment="1" applyProtection="1">
      <alignment horizontal="center" vertical="center" wrapText="1"/>
      <protection locked="0"/>
    </xf>
    <xf numFmtId="0" fontId="58" fillId="35" borderId="0" xfId="0" applyFont="1" applyFill="1" applyBorder="1" applyAlignment="1">
      <alignment horizontal="left" vertical="center" indent="1"/>
    </xf>
    <xf numFmtId="0" fontId="63" fillId="36" borderId="0" xfId="0" applyFont="1" applyFill="1" applyAlignment="1">
      <alignment horizontal="left" indent="1"/>
    </xf>
    <xf numFmtId="0" fontId="63" fillId="36" borderId="0" xfId="0" applyFont="1" applyFill="1" applyAlignment="1" quotePrefix="1">
      <alignment horizontal="left" wrapText="1" indent="1"/>
    </xf>
    <xf numFmtId="0" fontId="63" fillId="36" borderId="0" xfId="0" applyFont="1" applyFill="1" applyAlignment="1">
      <alignment horizontal="left" wrapText="1" indent="1"/>
    </xf>
    <xf numFmtId="0" fontId="63" fillId="36" borderId="0" xfId="0" applyFont="1" applyFill="1" applyAlignment="1" quotePrefix="1">
      <alignment horizontal="left" indent="1"/>
    </xf>
    <xf numFmtId="0" fontId="58" fillId="34" borderId="20" xfId="0" applyFont="1" applyFill="1" applyBorder="1" applyAlignment="1">
      <alignment horizontal="left" vertical="center" indent="1"/>
    </xf>
    <xf numFmtId="0" fontId="64" fillId="38" borderId="21" xfId="0" applyFont="1" applyFill="1" applyBorder="1" applyAlignment="1">
      <alignment horizontal="center" vertical="center" wrapText="1"/>
    </xf>
    <xf numFmtId="0" fontId="58" fillId="34" borderId="19" xfId="0" applyFont="1" applyFill="1" applyBorder="1" applyAlignment="1">
      <alignment horizontal="left" vertical="center" indent="1"/>
    </xf>
    <xf numFmtId="0" fontId="65" fillId="35" borderId="0" xfId="0" applyFont="1" applyFill="1" applyAlignment="1">
      <alignment horizontal="left" vertical="center" wrapText="1" indent="1"/>
    </xf>
    <xf numFmtId="0" fontId="62" fillId="35" borderId="0" xfId="0" applyFont="1" applyFill="1" applyBorder="1" applyAlignment="1">
      <alignment horizontal="left" vertical="center" wrapText="1" indent="1"/>
    </xf>
    <xf numFmtId="0" fontId="58" fillId="34" borderId="22" xfId="0" applyFont="1" applyFill="1" applyBorder="1" applyAlignment="1">
      <alignment horizontal="left" vertical="center" wrapText="1" indent="1"/>
    </xf>
    <xf numFmtId="0" fontId="63" fillId="35" borderId="0" xfId="0" applyFont="1" applyFill="1" applyAlignment="1" quotePrefix="1">
      <alignment horizontal="left" wrapText="1" indent="1"/>
    </xf>
    <xf numFmtId="165" fontId="63" fillId="35" borderId="0" xfId="0" applyNumberFormat="1" applyFont="1" applyFill="1" applyAlignment="1">
      <alignment/>
    </xf>
    <xf numFmtId="0" fontId="63" fillId="35" borderId="0" xfId="0" applyFont="1" applyFill="1" applyAlignment="1">
      <alignment/>
    </xf>
    <xf numFmtId="165" fontId="63" fillId="35" borderId="0" xfId="44" applyNumberFormat="1" applyFont="1" applyFill="1" applyAlignment="1">
      <alignment/>
    </xf>
    <xf numFmtId="0" fontId="58" fillId="35" borderId="19" xfId="0" applyFont="1" applyFill="1" applyBorder="1" applyAlignment="1" applyProtection="1">
      <alignment horizontal="center" vertical="center"/>
      <protection locked="0"/>
    </xf>
    <xf numFmtId="0" fontId="58" fillId="35" borderId="23" xfId="0" applyFont="1" applyFill="1" applyBorder="1" applyAlignment="1">
      <alignment vertical="center"/>
    </xf>
    <xf numFmtId="0" fontId="5" fillId="39" borderId="19" xfId="0" applyFont="1" applyFill="1" applyBorder="1" applyAlignment="1">
      <alignment horizontal="left" vertical="center" indent="1"/>
    </xf>
    <xf numFmtId="0" fontId="58" fillId="34" borderId="19" xfId="0" applyFont="1" applyFill="1" applyBorder="1" applyAlignment="1">
      <alignment vertical="center"/>
    </xf>
    <xf numFmtId="0" fontId="58" fillId="34" borderId="19" xfId="0" applyFont="1" applyFill="1" applyBorder="1" applyAlignment="1">
      <alignment horizontal="center" vertical="center"/>
    </xf>
    <xf numFmtId="0" fontId="58" fillId="34" borderId="22" xfId="0" applyFont="1" applyFill="1" applyBorder="1" applyAlignment="1">
      <alignment horizontal="center" vertical="center"/>
    </xf>
    <xf numFmtId="0" fontId="58" fillId="34" borderId="19" xfId="0" applyFont="1" applyFill="1" applyBorder="1" applyAlignment="1">
      <alignment horizontal="right" vertical="center" wrapText="1"/>
    </xf>
    <xf numFmtId="9" fontId="58" fillId="34" borderId="19" xfId="58" applyFont="1" applyFill="1" applyBorder="1" applyAlignment="1">
      <alignment horizontal="center" vertical="center" wrapText="1"/>
    </xf>
    <xf numFmtId="0" fontId="58" fillId="35" borderId="20" xfId="0" applyFont="1" applyFill="1" applyBorder="1" applyAlignment="1" applyProtection="1">
      <alignment horizontal="center" vertical="center"/>
      <protection locked="0"/>
    </xf>
    <xf numFmtId="0" fontId="58" fillId="35" borderId="20" xfId="0" applyFont="1" applyFill="1" applyBorder="1" applyAlignment="1" applyProtection="1">
      <alignment horizontal="center" vertical="center" wrapText="1"/>
      <protection locked="0"/>
    </xf>
    <xf numFmtId="0" fontId="58" fillId="35" borderId="23" xfId="0" applyFont="1" applyFill="1" applyBorder="1" applyAlignment="1">
      <alignment horizontal="left" vertical="center" indent="1"/>
    </xf>
    <xf numFmtId="0" fontId="63" fillId="35" borderId="0" xfId="0" applyFont="1" applyFill="1" applyAlignment="1">
      <alignment horizontal="center"/>
    </xf>
    <xf numFmtId="0" fontId="63" fillId="36" borderId="18" xfId="0" applyFont="1" applyFill="1" applyBorder="1" applyAlignment="1">
      <alignment horizontal="center"/>
    </xf>
    <xf numFmtId="165" fontId="58" fillId="34" borderId="19" xfId="44" applyNumberFormat="1" applyFont="1" applyFill="1" applyBorder="1" applyAlignment="1">
      <alignment horizontal="center" vertical="center"/>
    </xf>
    <xf numFmtId="0" fontId="63" fillId="35" borderId="24" xfId="0" applyFont="1" applyFill="1" applyBorder="1" applyAlignment="1">
      <alignment horizontal="center"/>
    </xf>
    <xf numFmtId="165" fontId="63" fillId="35" borderId="0" xfId="44" applyNumberFormat="1" applyFont="1" applyFill="1" applyAlignment="1" applyProtection="1">
      <alignment horizontal="center"/>
      <protection/>
    </xf>
    <xf numFmtId="165" fontId="63" fillId="35" borderId="0" xfId="44" applyNumberFormat="1" applyFont="1" applyFill="1" applyAlignment="1">
      <alignment horizontal="center"/>
    </xf>
    <xf numFmtId="9" fontId="58" fillId="34" borderId="19" xfId="58" applyFont="1" applyFill="1" applyBorder="1" applyAlignment="1" quotePrefix="1">
      <alignment horizontal="center" vertical="center" wrapText="1"/>
    </xf>
    <xf numFmtId="0" fontId="58" fillId="34" borderId="19" xfId="0" applyFont="1" applyFill="1" applyBorder="1" applyAlignment="1" quotePrefix="1">
      <alignment horizontal="right" vertical="center" wrapText="1"/>
    </xf>
    <xf numFmtId="0" fontId="58" fillId="34" borderId="19" xfId="0" applyFont="1" applyFill="1" applyBorder="1" applyAlignment="1">
      <alignment horizontal="left" vertical="center" wrapText="1" indent="2"/>
    </xf>
    <xf numFmtId="0" fontId="58" fillId="34" borderId="25" xfId="0" applyFont="1" applyFill="1" applyBorder="1" applyAlignment="1">
      <alignment horizontal="left" vertical="center" indent="2"/>
    </xf>
    <xf numFmtId="0" fontId="63" fillId="36" borderId="0" xfId="0" applyFont="1" applyFill="1" applyAlignment="1">
      <alignment horizontal="left" wrapText="1" indent="2"/>
    </xf>
    <xf numFmtId="0" fontId="63" fillId="36" borderId="0" xfId="0" applyFont="1" applyFill="1" applyAlignment="1">
      <alignment horizontal="left" indent="2"/>
    </xf>
    <xf numFmtId="0" fontId="63" fillId="36" borderId="0" xfId="0" applyFont="1" applyFill="1" applyAlignment="1" quotePrefix="1">
      <alignment horizontal="left" indent="2"/>
    </xf>
    <xf numFmtId="0" fontId="63" fillId="36" borderId="0" xfId="0" applyFont="1" applyFill="1" applyAlignment="1" quotePrefix="1">
      <alignment horizontal="left" wrapText="1" indent="2"/>
    </xf>
    <xf numFmtId="0" fontId="63" fillId="35" borderId="0" xfId="0" applyFont="1" applyFill="1" applyAlignment="1" quotePrefix="1">
      <alignment horizontal="left" wrapText="1" indent="2"/>
    </xf>
    <xf numFmtId="0" fontId="58" fillId="34" borderId="19" xfId="0" applyFont="1" applyFill="1" applyBorder="1" applyAlignment="1">
      <alignment horizontal="left" vertical="center" indent="2"/>
    </xf>
    <xf numFmtId="0" fontId="63" fillId="35" borderId="0" xfId="0" applyFont="1" applyFill="1" applyAlignment="1">
      <alignment horizontal="left" indent="2"/>
    </xf>
    <xf numFmtId="0" fontId="58" fillId="34" borderId="19" xfId="0" applyFont="1" applyFill="1" applyBorder="1" applyAlignment="1" quotePrefix="1">
      <alignment horizontal="left" vertical="center" wrapText="1" indent="2"/>
    </xf>
    <xf numFmtId="165" fontId="63" fillId="35" borderId="24" xfId="0" applyNumberFormat="1" applyFont="1" applyFill="1" applyBorder="1" applyAlignment="1">
      <alignment horizontal="center"/>
    </xf>
    <xf numFmtId="0" fontId="5" fillId="39" borderId="19" xfId="0" applyFont="1" applyFill="1" applyBorder="1" applyAlignment="1">
      <alignment vertical="center"/>
    </xf>
    <xf numFmtId="165" fontId="58" fillId="35" borderId="0" xfId="44" applyNumberFormat="1" applyFont="1" applyFill="1" applyBorder="1" applyAlignment="1">
      <alignment horizontal="left" vertical="center" indent="1"/>
    </xf>
    <xf numFmtId="165" fontId="58" fillId="35" borderId="0" xfId="44" applyNumberFormat="1" applyFont="1" applyFill="1" applyBorder="1" applyAlignment="1">
      <alignment horizontal="center" vertical="center"/>
    </xf>
    <xf numFmtId="0" fontId="0" fillId="35" borderId="0" xfId="0" applyFill="1" applyBorder="1" applyAlignment="1" applyProtection="1">
      <alignment/>
      <protection/>
    </xf>
    <xf numFmtId="0" fontId="63" fillId="35" borderId="0" xfId="0" applyFont="1" applyFill="1" applyBorder="1" applyAlignment="1" applyProtection="1">
      <alignment horizontal="left" vertical="center" indent="1"/>
      <protection/>
    </xf>
    <xf numFmtId="0" fontId="63" fillId="35" borderId="0" xfId="0" applyFont="1" applyFill="1" applyBorder="1" applyAlignment="1" applyProtection="1">
      <alignment horizontal="center" wrapText="1"/>
      <protection/>
    </xf>
    <xf numFmtId="0" fontId="63" fillId="35" borderId="0" xfId="0" applyFont="1" applyFill="1" applyBorder="1" applyAlignment="1" applyProtection="1">
      <alignment/>
      <protection/>
    </xf>
    <xf numFmtId="0" fontId="58" fillId="35" borderId="24" xfId="0" applyFont="1" applyFill="1" applyBorder="1" applyAlignment="1" applyProtection="1">
      <alignment horizontal="left" vertical="center" indent="1"/>
      <protection/>
    </xf>
    <xf numFmtId="0" fontId="58" fillId="35" borderId="26" xfId="0" applyFont="1" applyFill="1" applyBorder="1" applyAlignment="1" applyProtection="1">
      <alignment horizontal="center" vertical="center" wrapText="1"/>
      <protection/>
    </xf>
    <xf numFmtId="0" fontId="58" fillId="35" borderId="26" xfId="0" applyFont="1" applyFill="1" applyBorder="1" applyAlignment="1" applyProtection="1">
      <alignment vertical="center"/>
      <protection/>
    </xf>
    <xf numFmtId="0" fontId="42" fillId="35" borderId="0" xfId="0" applyFont="1" applyFill="1" applyBorder="1" applyAlignment="1" applyProtection="1">
      <alignment/>
      <protection/>
    </xf>
    <xf numFmtId="0" fontId="58" fillId="35" borderId="26" xfId="0" applyFont="1" applyFill="1" applyBorder="1" applyAlignment="1" applyProtection="1">
      <alignment horizontal="left" vertical="center" wrapText="1" indent="2"/>
      <protection/>
    </xf>
    <xf numFmtId="0" fontId="58" fillId="35" borderId="26" xfId="0" applyFont="1" applyFill="1" applyBorder="1" applyAlignment="1" applyProtection="1">
      <alignment horizontal="right" vertical="center" wrapText="1"/>
      <protection/>
    </xf>
    <xf numFmtId="0" fontId="58" fillId="35" borderId="26" xfId="0" applyFont="1" applyFill="1" applyBorder="1" applyAlignment="1" applyProtection="1">
      <alignment horizontal="left" vertical="center" indent="2"/>
      <protection/>
    </xf>
    <xf numFmtId="0" fontId="58" fillId="35" borderId="26" xfId="0" applyFont="1" applyFill="1" applyBorder="1" applyAlignment="1" applyProtection="1">
      <alignment horizontal="center" vertical="center"/>
      <protection/>
    </xf>
    <xf numFmtId="0" fontId="58" fillId="35" borderId="24" xfId="0" applyFont="1" applyFill="1" applyBorder="1" applyAlignment="1" applyProtection="1">
      <alignment vertical="center"/>
      <protection/>
    </xf>
    <xf numFmtId="0" fontId="58" fillId="35" borderId="23" xfId="0" applyFont="1" applyFill="1" applyBorder="1" applyAlignment="1" applyProtection="1">
      <alignment vertical="center"/>
      <protection/>
    </xf>
    <xf numFmtId="0" fontId="63" fillId="35" borderId="0" xfId="0" applyFont="1" applyFill="1" applyAlignment="1" applyProtection="1">
      <alignment horizontal="left" wrapText="1" indent="2"/>
      <protection/>
    </xf>
    <xf numFmtId="0" fontId="63" fillId="35" borderId="0" xfId="0" applyFont="1" applyFill="1" applyAlignment="1" applyProtection="1">
      <alignment horizontal="center"/>
      <protection/>
    </xf>
    <xf numFmtId="0" fontId="63" fillId="35" borderId="24" xfId="0" applyFont="1" applyFill="1" applyBorder="1" applyAlignment="1" applyProtection="1">
      <alignment horizontal="center"/>
      <protection/>
    </xf>
    <xf numFmtId="0" fontId="66" fillId="35" borderId="19" xfId="0" applyFont="1" applyFill="1" applyBorder="1" applyAlignment="1" applyProtection="1">
      <alignment wrapText="1"/>
      <protection locked="0"/>
    </xf>
    <xf numFmtId="0" fontId="58" fillId="40" borderId="19" xfId="0" applyFont="1" applyFill="1" applyBorder="1" applyAlignment="1">
      <alignment horizontal="left" vertical="center" wrapText="1" indent="2"/>
    </xf>
    <xf numFmtId="0" fontId="62" fillId="40" borderId="19" xfId="0" applyFont="1" applyFill="1" applyBorder="1" applyAlignment="1">
      <alignment horizontal="left" vertical="center" wrapText="1" indent="2"/>
    </xf>
    <xf numFmtId="0" fontId="58" fillId="40" borderId="19" xfId="0" applyFont="1" applyFill="1" applyBorder="1" applyAlignment="1">
      <alignment horizontal="right" vertical="center" wrapText="1"/>
    </xf>
    <xf numFmtId="0" fontId="58" fillId="34" borderId="19" xfId="0" applyFont="1" applyFill="1" applyBorder="1" applyAlignment="1">
      <alignment horizontal="right" vertical="center" wrapText="1" indent="2"/>
    </xf>
    <xf numFmtId="9" fontId="58" fillId="40" borderId="19" xfId="58" applyFont="1" applyFill="1" applyBorder="1" applyAlignment="1">
      <alignment horizontal="center" vertical="center" wrapText="1"/>
    </xf>
    <xf numFmtId="165" fontId="62" fillId="40" borderId="19" xfId="0" applyNumberFormat="1" applyFont="1" applyFill="1" applyBorder="1" applyAlignment="1">
      <alignment horizontal="center" vertical="center" wrapText="1"/>
    </xf>
    <xf numFmtId="0" fontId="62" fillId="39" borderId="19" xfId="0" applyFont="1" applyFill="1" applyBorder="1" applyAlignment="1">
      <alignment horizontal="left" vertical="center" indent="2"/>
    </xf>
    <xf numFmtId="169" fontId="58" fillId="34" borderId="19" xfId="0" applyNumberFormat="1" applyFont="1" applyFill="1" applyBorder="1" applyAlignment="1">
      <alignment horizontal="center" vertical="center"/>
    </xf>
    <xf numFmtId="169" fontId="58" fillId="34" borderId="22" xfId="0" applyNumberFormat="1" applyFont="1" applyFill="1" applyBorder="1" applyAlignment="1">
      <alignment horizontal="center" vertical="center"/>
    </xf>
    <xf numFmtId="0" fontId="58" fillId="34" borderId="22" xfId="0" applyFont="1" applyFill="1" applyBorder="1" applyAlignment="1">
      <alignment horizontal="left" vertical="center" wrapText="1" indent="2"/>
    </xf>
    <xf numFmtId="0" fontId="62" fillId="35" borderId="0" xfId="0" applyFont="1" applyFill="1" applyBorder="1" applyAlignment="1">
      <alignment horizontal="left" vertical="center" indent="2"/>
    </xf>
    <xf numFmtId="169" fontId="58" fillId="35" borderId="19" xfId="0" applyNumberFormat="1" applyFont="1" applyFill="1" applyBorder="1" applyAlignment="1" applyProtection="1">
      <alignment horizontal="center" vertical="center" wrapText="1"/>
      <protection locked="0"/>
    </xf>
    <xf numFmtId="169" fontId="58" fillId="34" borderId="19" xfId="0" applyNumberFormat="1" applyFont="1" applyFill="1" applyBorder="1" applyAlignment="1">
      <alignment horizontal="right" vertical="center" wrapText="1"/>
    </xf>
    <xf numFmtId="168" fontId="58" fillId="35" borderId="19" xfId="0" applyNumberFormat="1" applyFont="1" applyFill="1" applyBorder="1" applyAlignment="1" applyProtection="1">
      <alignment horizontal="center" vertical="center" wrapText="1"/>
      <protection locked="0"/>
    </xf>
    <xf numFmtId="168" fontId="58" fillId="34" borderId="19" xfId="0" applyNumberFormat="1" applyFont="1" applyFill="1" applyBorder="1" applyAlignment="1">
      <alignment horizontal="right" vertical="center" wrapText="1"/>
    </xf>
    <xf numFmtId="0" fontId="5" fillId="39" borderId="19" xfId="0" applyFont="1" applyFill="1" applyBorder="1" applyAlignment="1">
      <alignment horizontal="left" vertical="center" indent="2"/>
    </xf>
    <xf numFmtId="0" fontId="58" fillId="39" borderId="20" xfId="0" applyFont="1" applyFill="1" applyBorder="1" applyAlignment="1">
      <alignment vertical="center"/>
    </xf>
    <xf numFmtId="0" fontId="62" fillId="39" borderId="19" xfId="0" applyFont="1" applyFill="1" applyBorder="1" applyAlignment="1">
      <alignment vertical="center"/>
    </xf>
    <xf numFmtId="0" fontId="67" fillId="35" borderId="0" xfId="0" applyFont="1" applyFill="1" applyAlignment="1">
      <alignment horizontal="left" vertical="center" wrapText="1" indent="1"/>
    </xf>
    <xf numFmtId="0" fontId="68" fillId="35" borderId="0" xfId="0" applyFont="1" applyFill="1" applyBorder="1" applyAlignment="1">
      <alignment horizontal="left" vertical="center" wrapText="1" indent="1"/>
    </xf>
    <xf numFmtId="0" fontId="62" fillId="39" borderId="20" xfId="0" applyFont="1" applyFill="1" applyBorder="1" applyAlignment="1">
      <alignment vertical="center"/>
    </xf>
    <xf numFmtId="0" fontId="58" fillId="0" borderId="0" xfId="0" applyFont="1" applyAlignment="1">
      <alignment/>
    </xf>
    <xf numFmtId="0" fontId="58" fillId="0" borderId="27" xfId="0" applyFont="1" applyBorder="1" applyAlignment="1">
      <alignment/>
    </xf>
    <xf numFmtId="0" fontId="58" fillId="0" borderId="0" xfId="0" applyFont="1" applyAlignment="1" quotePrefix="1">
      <alignment wrapText="1"/>
    </xf>
    <xf numFmtId="0" fontId="69" fillId="0" borderId="0" xfId="0" applyFont="1" applyAlignment="1">
      <alignment horizontal="center"/>
    </xf>
    <xf numFmtId="0" fontId="70" fillId="0" borderId="0" xfId="0" applyFont="1" applyAlignment="1">
      <alignment horizontal="center"/>
    </xf>
    <xf numFmtId="0" fontId="62" fillId="0" borderId="0" xfId="0" applyFont="1" applyAlignment="1">
      <alignment/>
    </xf>
    <xf numFmtId="0" fontId="62" fillId="0" borderId="27" xfId="0" applyFont="1" applyBorder="1" applyAlignment="1">
      <alignment horizontal="center" vertical="center" wrapText="1"/>
    </xf>
    <xf numFmtId="0" fontId="58" fillId="0" borderId="0" xfId="0" applyFont="1" applyAlignment="1">
      <alignment vertical="center" wrapText="1"/>
    </xf>
    <xf numFmtId="0" fontId="58" fillId="0" borderId="0" xfId="0" applyFont="1" applyAlignment="1">
      <alignment horizontal="center" vertical="center"/>
    </xf>
    <xf numFmtId="9" fontId="58" fillId="0" borderId="0" xfId="0" applyNumberFormat="1" applyFont="1" applyAlignment="1">
      <alignment horizontal="center" vertical="center"/>
    </xf>
    <xf numFmtId="0" fontId="58" fillId="0" borderId="0" xfId="0" applyFont="1" applyAlignment="1" quotePrefix="1">
      <alignment vertical="center" wrapText="1"/>
    </xf>
    <xf numFmtId="0" fontId="58" fillId="0" borderId="0" xfId="0" applyFont="1" applyAlignment="1">
      <alignment vertical="center"/>
    </xf>
    <xf numFmtId="0" fontId="62" fillId="0" borderId="0" xfId="0" applyFont="1" applyAlignment="1">
      <alignment horizontal="left" vertical="center" wrapText="1"/>
    </xf>
    <xf numFmtId="0" fontId="62" fillId="0" borderId="0" xfId="0" applyFont="1" applyAlignment="1">
      <alignment vertical="center" wrapText="1"/>
    </xf>
    <xf numFmtId="0" fontId="58" fillId="35" borderId="0" xfId="0" applyFont="1" applyFill="1" applyBorder="1" applyAlignment="1">
      <alignment/>
    </xf>
    <xf numFmtId="0" fontId="61" fillId="35" borderId="0" xfId="0" applyFont="1" applyFill="1" applyBorder="1" applyAlignment="1">
      <alignment horizontal="left" vertical="center"/>
    </xf>
    <xf numFmtId="0" fontId="60" fillId="35" borderId="0" xfId="0" applyFont="1" applyFill="1" applyBorder="1" applyAlignment="1">
      <alignment horizontal="center"/>
    </xf>
    <xf numFmtId="0" fontId="60" fillId="35" borderId="0" xfId="0" applyFont="1" applyFill="1" applyBorder="1" applyAlignment="1">
      <alignment horizontal="left"/>
    </xf>
    <xf numFmtId="165" fontId="42" fillId="36" borderId="0" xfId="0" applyNumberFormat="1" applyFont="1" applyFill="1" applyAlignment="1">
      <alignment/>
    </xf>
    <xf numFmtId="0" fontId="58" fillId="35" borderId="0" xfId="0" applyFont="1" applyFill="1" applyBorder="1" applyAlignment="1">
      <alignment horizontal="left" vertical="center" indent="1"/>
    </xf>
    <xf numFmtId="44" fontId="63" fillId="36" borderId="0" xfId="44" applyFont="1" applyFill="1" applyAlignment="1" applyProtection="1">
      <alignment/>
      <protection/>
    </xf>
    <xf numFmtId="9" fontId="58" fillId="34" borderId="19" xfId="0" applyNumberFormat="1" applyFont="1" applyFill="1" applyBorder="1" applyAlignment="1">
      <alignment horizontal="center" vertical="center"/>
    </xf>
    <xf numFmtId="0" fontId="58" fillId="34" borderId="19" xfId="58" applyNumberFormat="1" applyFont="1" applyFill="1" applyBorder="1" applyAlignment="1">
      <alignment horizontal="center" vertical="center" wrapText="1"/>
    </xf>
    <xf numFmtId="9" fontId="58" fillId="34" borderId="19" xfId="58" applyNumberFormat="1" applyFont="1" applyFill="1" applyBorder="1" applyAlignment="1">
      <alignment horizontal="center" vertical="center" wrapText="1"/>
    </xf>
    <xf numFmtId="0" fontId="58" fillId="35" borderId="0" xfId="0" applyFont="1" applyFill="1" applyBorder="1" applyAlignment="1">
      <alignment horizontal="center" vertical="center"/>
    </xf>
    <xf numFmtId="0" fontId="58" fillId="34" borderId="19" xfId="0" applyFont="1" applyFill="1" applyBorder="1" applyAlignment="1">
      <alignment horizontal="center" vertical="center" wrapText="1"/>
    </xf>
    <xf numFmtId="168" fontId="58" fillId="34" borderId="19" xfId="44" applyNumberFormat="1" applyFont="1" applyFill="1" applyBorder="1" applyAlignment="1">
      <alignment horizontal="center" vertical="center"/>
    </xf>
    <xf numFmtId="0" fontId="58" fillId="27" borderId="19" xfId="0" applyFont="1" applyFill="1" applyBorder="1" applyAlignment="1" applyProtection="1">
      <alignment horizontal="center" vertical="center"/>
      <protection/>
    </xf>
    <xf numFmtId="169" fontId="58" fillId="27" borderId="19" xfId="0" applyNumberFormat="1" applyFont="1" applyFill="1" applyBorder="1" applyAlignment="1" applyProtection="1">
      <alignment horizontal="center" vertical="center"/>
      <protection/>
    </xf>
    <xf numFmtId="0" fontId="58" fillId="35" borderId="0" xfId="0" applyFont="1" applyFill="1" applyBorder="1" applyAlignment="1" applyProtection="1">
      <alignment vertical="center"/>
      <protection/>
    </xf>
    <xf numFmtId="169" fontId="58" fillId="27" borderId="19" xfId="0" applyNumberFormat="1" applyFont="1" applyFill="1" applyBorder="1" applyAlignment="1" applyProtection="1">
      <alignment horizontal="center" vertical="center" wrapText="1"/>
      <protection/>
    </xf>
    <xf numFmtId="3" fontId="58" fillId="27" borderId="19" xfId="0" applyNumberFormat="1" applyFont="1" applyFill="1" applyBorder="1" applyAlignment="1" applyProtection="1">
      <alignment horizontal="center" vertical="center" wrapText="1"/>
      <protection/>
    </xf>
    <xf numFmtId="8" fontId="58" fillId="27" borderId="28" xfId="44" applyNumberFormat="1" applyFont="1" applyFill="1" applyBorder="1" applyAlignment="1" applyProtection="1">
      <alignment horizontal="center" vertical="center"/>
      <protection/>
    </xf>
    <xf numFmtId="0" fontId="58" fillId="0" borderId="19" xfId="0" applyFont="1" applyFill="1" applyBorder="1" applyAlignment="1">
      <alignment horizontal="center" vertical="center"/>
    </xf>
    <xf numFmtId="0" fontId="58" fillId="0" borderId="0" xfId="0" applyNumberFormat="1" applyFont="1" applyAlignment="1">
      <alignment horizontal="left"/>
    </xf>
    <xf numFmtId="14" fontId="58" fillId="0" borderId="0" xfId="0" applyNumberFormat="1" applyFont="1" applyAlignment="1">
      <alignment horizontal="left"/>
    </xf>
    <xf numFmtId="0" fontId="58" fillId="27" borderId="19" xfId="0" applyFont="1" applyFill="1" applyBorder="1" applyAlignment="1" applyProtection="1">
      <alignment horizontal="center" vertical="center" wrapText="1"/>
      <protection/>
    </xf>
    <xf numFmtId="0" fontId="58" fillId="27" borderId="20" xfId="0" applyFont="1" applyFill="1" applyBorder="1" applyAlignment="1" applyProtection="1">
      <alignment horizontal="center" vertical="center" wrapText="1"/>
      <protection/>
    </xf>
    <xf numFmtId="9" fontId="58" fillId="27" borderId="19" xfId="58" applyFont="1" applyFill="1" applyBorder="1" applyAlignment="1" applyProtection="1">
      <alignment horizontal="center" vertical="center" wrapText="1"/>
      <protection/>
    </xf>
    <xf numFmtId="9" fontId="58" fillId="27" borderId="20" xfId="58" applyFont="1" applyFill="1" applyBorder="1" applyAlignment="1" applyProtection="1">
      <alignment horizontal="center" vertical="center"/>
      <protection/>
    </xf>
    <xf numFmtId="0" fontId="58" fillId="34" borderId="19" xfId="0" applyFont="1" applyFill="1" applyBorder="1" applyAlignment="1" applyProtection="1">
      <alignment horizontal="center" vertical="center" wrapText="1"/>
      <protection/>
    </xf>
    <xf numFmtId="9" fontId="58" fillId="34" borderId="19" xfId="58" applyFont="1" applyFill="1" applyBorder="1" applyAlignment="1" applyProtection="1">
      <alignment horizontal="center" vertical="center" wrapText="1"/>
      <protection/>
    </xf>
    <xf numFmtId="0" fontId="3" fillId="0" borderId="0" xfId="0" applyFont="1" applyFill="1" applyBorder="1" applyAlignment="1">
      <alignment horizontal="left" vertical="center"/>
    </xf>
    <xf numFmtId="0" fontId="58" fillId="0" borderId="0" xfId="0" applyFont="1" applyFill="1" applyBorder="1" applyAlignment="1">
      <alignment horizontal="left" vertical="center" wrapText="1"/>
    </xf>
    <xf numFmtId="0" fontId="58" fillId="0" borderId="0" xfId="0" applyFont="1" applyFill="1" applyBorder="1" applyAlignment="1">
      <alignment vertical="center"/>
    </xf>
    <xf numFmtId="0" fontId="3" fillId="0" borderId="0" xfId="0" applyFont="1" applyFill="1" applyBorder="1" applyAlignment="1">
      <alignment vertical="center"/>
    </xf>
    <xf numFmtId="0" fontId="58" fillId="0" borderId="0" xfId="0" applyFont="1" applyFill="1" applyBorder="1" applyAlignment="1">
      <alignment horizontal="left" vertical="center"/>
    </xf>
    <xf numFmtId="0" fontId="61" fillId="0" borderId="0" xfId="0" applyFont="1" applyFill="1" applyBorder="1" applyAlignment="1">
      <alignment horizontal="left" vertical="center"/>
    </xf>
    <xf numFmtId="9" fontId="58" fillId="35" borderId="19" xfId="58" applyNumberFormat="1" applyFont="1" applyFill="1" applyBorder="1" applyAlignment="1" applyProtection="1">
      <alignment horizontal="center" vertical="center" wrapText="1"/>
      <protection locked="0"/>
    </xf>
    <xf numFmtId="168" fontId="58" fillId="35" borderId="19" xfId="58" applyNumberFormat="1" applyFont="1" applyFill="1" applyBorder="1" applyAlignment="1" applyProtection="1">
      <alignment horizontal="center" vertical="center" wrapText="1"/>
      <protection locked="0"/>
    </xf>
    <xf numFmtId="169" fontId="58" fillId="0" borderId="19" xfId="0" applyNumberFormat="1" applyFont="1" applyFill="1" applyBorder="1" applyAlignment="1" applyProtection="1">
      <alignment horizontal="center" vertical="center" wrapText="1"/>
      <protection locked="0"/>
    </xf>
    <xf numFmtId="5" fontId="62" fillId="0" borderId="0" xfId="44" applyNumberFormat="1" applyFont="1" applyAlignment="1">
      <alignment horizontal="center" vertical="center"/>
    </xf>
    <xf numFmtId="0" fontId="0" fillId="0" borderId="0" xfId="0" applyAlignment="1" applyProtection="1">
      <alignment/>
      <protection/>
    </xf>
    <xf numFmtId="0" fontId="0" fillId="0" borderId="0" xfId="0" applyFont="1" applyAlignment="1" applyProtection="1">
      <alignment/>
      <protection/>
    </xf>
    <xf numFmtId="0" fontId="71" fillId="35" borderId="0" xfId="0" applyFont="1" applyFill="1" applyBorder="1" applyAlignment="1">
      <alignment vertical="center"/>
    </xf>
    <xf numFmtId="168" fontId="58" fillId="27" borderId="19" xfId="0" applyNumberFormat="1" applyFont="1" applyFill="1" applyBorder="1" applyAlignment="1" applyProtection="1">
      <alignment horizontal="center" vertical="center" wrapText="1"/>
      <protection/>
    </xf>
    <xf numFmtId="0" fontId="72" fillId="35" borderId="0" xfId="0" applyFont="1" applyFill="1" applyBorder="1" applyAlignment="1">
      <alignment/>
    </xf>
    <xf numFmtId="0" fontId="3" fillId="35" borderId="0" xfId="0" applyFont="1" applyFill="1" applyBorder="1" applyAlignment="1" applyProtection="1">
      <alignment vertical="center" wrapText="1"/>
      <protection/>
    </xf>
    <xf numFmtId="0" fontId="58" fillId="35" borderId="0" xfId="0" applyFont="1" applyFill="1" applyBorder="1" applyAlignment="1" applyProtection="1">
      <alignment vertical="center" wrapText="1"/>
      <protection/>
    </xf>
    <xf numFmtId="0" fontId="71" fillId="35" borderId="0" xfId="0" applyFont="1" applyFill="1" applyBorder="1" applyAlignment="1">
      <alignment horizontal="left"/>
    </xf>
    <xf numFmtId="3" fontId="58" fillId="0" borderId="19" xfId="0" applyNumberFormat="1" applyFont="1" applyFill="1" applyBorder="1" applyAlignment="1" applyProtection="1">
      <alignment horizontal="center" vertical="center" wrapText="1"/>
      <protection locked="0"/>
    </xf>
    <xf numFmtId="0" fontId="62" fillId="40" borderId="26" xfId="0" applyNumberFormat="1" applyFont="1" applyFill="1" applyBorder="1" applyAlignment="1" applyProtection="1">
      <alignment vertical="center" wrapText="1"/>
      <protection/>
    </xf>
    <xf numFmtId="0" fontId="62" fillId="40" borderId="22" xfId="0" applyNumberFormat="1" applyFont="1" applyFill="1" applyBorder="1" applyAlignment="1" applyProtection="1">
      <alignment vertical="center" wrapText="1"/>
      <protection/>
    </xf>
    <xf numFmtId="0" fontId="62" fillId="40" borderId="26" xfId="0" applyNumberFormat="1" applyFont="1" applyFill="1" applyBorder="1" applyAlignment="1" applyProtection="1">
      <alignment vertical="center" wrapText="1"/>
      <protection locked="0"/>
    </xf>
    <xf numFmtId="0" fontId="62" fillId="40" borderId="22" xfId="0" applyNumberFormat="1" applyFont="1" applyFill="1" applyBorder="1" applyAlignment="1" applyProtection="1">
      <alignment vertical="center" wrapText="1"/>
      <protection locked="0"/>
    </xf>
    <xf numFmtId="169" fontId="58" fillId="39" borderId="19" xfId="0" applyNumberFormat="1" applyFont="1" applyFill="1" applyBorder="1" applyAlignment="1">
      <alignment horizontal="center" vertical="center"/>
    </xf>
    <xf numFmtId="169" fontId="5" fillId="39" borderId="22" xfId="0" applyNumberFormat="1" applyFont="1" applyFill="1" applyBorder="1" applyAlignment="1">
      <alignment horizontal="center" vertical="center"/>
    </xf>
    <xf numFmtId="169" fontId="62" fillId="39" borderId="19" xfId="0" applyNumberFormat="1" applyFont="1" applyFill="1" applyBorder="1" applyAlignment="1">
      <alignment horizontal="center" vertical="center"/>
    </xf>
    <xf numFmtId="169" fontId="5" fillId="39" borderId="19" xfId="0" applyNumberFormat="1" applyFont="1" applyFill="1" applyBorder="1" applyAlignment="1">
      <alignment horizontal="center" vertical="center"/>
    </xf>
    <xf numFmtId="169" fontId="58" fillId="34" borderId="19" xfId="0" applyNumberFormat="1" applyFont="1" applyFill="1" applyBorder="1" applyAlignment="1">
      <alignment horizontal="center" vertical="center" wrapText="1"/>
    </xf>
    <xf numFmtId="0" fontId="58" fillId="35" borderId="23" xfId="0" applyFont="1" applyFill="1" applyBorder="1" applyAlignment="1" applyProtection="1">
      <alignment horizontal="center" vertical="center"/>
      <protection/>
    </xf>
    <xf numFmtId="169" fontId="62" fillId="39" borderId="20" xfId="0" applyNumberFormat="1" applyFont="1" applyFill="1" applyBorder="1" applyAlignment="1">
      <alignment horizontal="center" vertical="center"/>
    </xf>
    <xf numFmtId="0" fontId="3" fillId="35" borderId="0" xfId="0" applyFont="1" applyFill="1" applyBorder="1" applyAlignment="1" applyProtection="1">
      <alignment horizontal="left" vertical="center" wrapText="1"/>
      <protection/>
    </xf>
    <xf numFmtId="0" fontId="73" fillId="35" borderId="0" xfId="0" applyFont="1" applyFill="1" applyBorder="1" applyAlignment="1" applyProtection="1">
      <alignment horizontal="left" vertical="center" wrapText="1"/>
      <protection/>
    </xf>
    <xf numFmtId="0" fontId="74" fillId="35" borderId="0" xfId="0" applyFont="1" applyFill="1" applyBorder="1" applyAlignment="1">
      <alignment horizontal="right"/>
    </xf>
    <xf numFmtId="0" fontId="75" fillId="35" borderId="0" xfId="0" applyFont="1" applyFill="1" applyBorder="1" applyAlignment="1" applyProtection="1">
      <alignment horizontal="center" vertical="center" wrapText="1"/>
      <protection/>
    </xf>
    <xf numFmtId="0" fontId="3" fillId="0" borderId="0"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58" fillId="0" borderId="0" xfId="0" applyFont="1" applyFill="1" applyBorder="1" applyAlignment="1">
      <alignment horizontal="left" vertical="center"/>
    </xf>
    <xf numFmtId="0" fontId="76" fillId="41" borderId="0" xfId="0" applyFont="1" applyFill="1" applyAlignment="1">
      <alignment horizontal="left" vertical="center" indent="1"/>
    </xf>
    <xf numFmtId="0" fontId="76" fillId="41" borderId="0" xfId="0" applyFont="1" applyFill="1" applyBorder="1" applyAlignment="1">
      <alignment horizontal="left" vertical="center" indent="1"/>
    </xf>
    <xf numFmtId="0" fontId="63" fillId="36" borderId="0" xfId="0" applyFont="1" applyFill="1" applyAlignment="1">
      <alignment horizontal="center"/>
    </xf>
    <xf numFmtId="0" fontId="42" fillId="35" borderId="0" xfId="0" applyFont="1" applyFill="1" applyAlignment="1" applyProtection="1">
      <alignment horizontal="center"/>
      <protection locked="0"/>
    </xf>
    <xf numFmtId="0" fontId="58" fillId="35" borderId="29" xfId="0" applyFont="1" applyFill="1" applyBorder="1" applyAlignment="1" applyProtection="1">
      <alignment horizontal="left" vertical="center" wrapText="1" indent="1"/>
      <protection locked="0"/>
    </xf>
    <xf numFmtId="0" fontId="58" fillId="35" borderId="30" xfId="0" applyFont="1" applyFill="1" applyBorder="1" applyAlignment="1" applyProtection="1">
      <alignment horizontal="left" vertical="center" wrapText="1" indent="1"/>
      <protection locked="0"/>
    </xf>
    <xf numFmtId="0" fontId="58" fillId="35" borderId="31" xfId="0" applyFont="1" applyFill="1" applyBorder="1" applyAlignment="1" applyProtection="1">
      <alignment horizontal="left" vertical="center" wrapText="1" indent="1"/>
      <protection locked="0"/>
    </xf>
    <xf numFmtId="14" fontId="58" fillId="35" borderId="29" xfId="0" applyNumberFormat="1" applyFont="1" applyFill="1" applyBorder="1" applyAlignment="1" applyProtection="1">
      <alignment horizontal="left" vertical="center" wrapText="1" indent="1"/>
      <protection locked="0"/>
    </xf>
    <xf numFmtId="14" fontId="58" fillId="35" borderId="30" xfId="0" applyNumberFormat="1" applyFont="1" applyFill="1" applyBorder="1" applyAlignment="1" applyProtection="1">
      <alignment horizontal="left" vertical="center" wrapText="1" indent="1"/>
      <protection locked="0"/>
    </xf>
    <xf numFmtId="14" fontId="58" fillId="35" borderId="31" xfId="0" applyNumberFormat="1" applyFont="1" applyFill="1" applyBorder="1" applyAlignment="1" applyProtection="1">
      <alignment horizontal="left" vertical="center" wrapText="1" indent="1"/>
      <protection locked="0"/>
    </xf>
    <xf numFmtId="167" fontId="58" fillId="27" borderId="29" xfId="0" applyNumberFormat="1" applyFont="1" applyFill="1" applyBorder="1" applyAlignment="1">
      <alignment horizontal="left" vertical="center" indent="1"/>
    </xf>
    <xf numFmtId="167" fontId="58" fillId="27" borderId="30" xfId="0" applyNumberFormat="1" applyFont="1" applyFill="1" applyBorder="1" applyAlignment="1">
      <alignment horizontal="left" vertical="center" indent="1"/>
    </xf>
    <xf numFmtId="167" fontId="58" fillId="27" borderId="31" xfId="0" applyNumberFormat="1" applyFont="1" applyFill="1" applyBorder="1" applyAlignment="1">
      <alignment horizontal="left" vertical="center" indent="1"/>
    </xf>
    <xf numFmtId="0" fontId="58" fillId="35" borderId="0" xfId="0" applyFont="1" applyFill="1" applyBorder="1" applyAlignment="1">
      <alignment horizontal="left" vertical="center" indent="1"/>
    </xf>
    <xf numFmtId="8" fontId="58" fillId="35" borderId="29" xfId="44" applyNumberFormat="1" applyFont="1" applyFill="1" applyBorder="1" applyAlignment="1" applyProtection="1">
      <alignment horizontal="left" vertical="center" indent="1"/>
      <protection locked="0"/>
    </xf>
    <xf numFmtId="44" fontId="58" fillId="35" borderId="30" xfId="44" applyFont="1" applyFill="1" applyBorder="1" applyAlignment="1" applyProtection="1">
      <alignment horizontal="left" vertical="center" indent="1"/>
      <protection locked="0"/>
    </xf>
    <xf numFmtId="44" fontId="58" fillId="35" borderId="31" xfId="44" applyFont="1" applyFill="1" applyBorder="1" applyAlignment="1" applyProtection="1">
      <alignment horizontal="left" vertical="center" indent="1"/>
      <protection locked="0"/>
    </xf>
    <xf numFmtId="44" fontId="62" fillId="34" borderId="32" xfId="44" applyFont="1" applyFill="1" applyBorder="1" applyAlignment="1" applyProtection="1">
      <alignment horizontal="right" vertical="center"/>
      <protection locked="0"/>
    </xf>
    <xf numFmtId="44" fontId="62" fillId="34" borderId="33" xfId="44" applyFont="1" applyFill="1" applyBorder="1" applyAlignment="1" applyProtection="1">
      <alignment horizontal="right" vertical="center"/>
      <protection locked="0"/>
    </xf>
    <xf numFmtId="0" fontId="62" fillId="40" borderId="20" xfId="0" applyNumberFormat="1" applyFont="1" applyFill="1" applyBorder="1" applyAlignment="1" applyProtection="1">
      <alignment horizontal="center" vertical="center" wrapText="1"/>
      <protection/>
    </xf>
    <xf numFmtId="0" fontId="62" fillId="40" borderId="26" xfId="0" applyNumberFormat="1" applyFont="1" applyFill="1" applyBorder="1" applyAlignment="1" applyProtection="1">
      <alignment horizontal="center" vertical="center" wrapText="1"/>
      <protection/>
    </xf>
    <xf numFmtId="0" fontId="58" fillId="27" borderId="29" xfId="0" applyFont="1" applyFill="1" applyBorder="1" applyAlignment="1" applyProtection="1">
      <alignment horizontal="left" vertical="center" wrapText="1" indent="1"/>
      <protection/>
    </xf>
    <xf numFmtId="0" fontId="58" fillId="27" borderId="30" xfId="0" applyFont="1" applyFill="1" applyBorder="1" applyAlignment="1" applyProtection="1">
      <alignment horizontal="left" vertical="center" wrapText="1" indent="1"/>
      <protection/>
    </xf>
    <xf numFmtId="0" fontId="58" fillId="27" borderId="31" xfId="0" applyFont="1" applyFill="1" applyBorder="1" applyAlignment="1" applyProtection="1">
      <alignment horizontal="left" vertical="center" wrapText="1" indent="1"/>
      <protection/>
    </xf>
    <xf numFmtId="167" fontId="58" fillId="27" borderId="29" xfId="0" applyNumberFormat="1" applyFont="1" applyFill="1" applyBorder="1" applyAlignment="1" applyProtection="1">
      <alignment horizontal="left" vertical="center" wrapText="1" indent="1"/>
      <protection/>
    </xf>
    <xf numFmtId="167" fontId="58" fillId="27" borderId="30" xfId="0" applyNumberFormat="1" applyFont="1" applyFill="1" applyBorder="1" applyAlignment="1" applyProtection="1">
      <alignment horizontal="left" vertical="center" wrapText="1" indent="1"/>
      <protection/>
    </xf>
    <xf numFmtId="167" fontId="58" fillId="27" borderId="31" xfId="0" applyNumberFormat="1" applyFont="1" applyFill="1" applyBorder="1" applyAlignment="1" applyProtection="1">
      <alignment horizontal="left" vertical="center" wrapText="1" indent="1"/>
      <protection/>
    </xf>
    <xf numFmtId="0" fontId="67" fillId="0" borderId="0" xfId="0" applyFont="1" applyAlignment="1">
      <alignment horizontal="center" vertical="top"/>
    </xf>
    <xf numFmtId="167" fontId="58" fillId="0" borderId="0" xfId="0" applyNumberFormat="1" applyFont="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Areas of potential economic benefit ('gap') when  mastitis control targets achieved</a:t>
            </a:r>
          </a:p>
        </c:rich>
      </c:tx>
      <c:layout>
        <c:manualLayout>
          <c:xMode val="factor"/>
          <c:yMode val="factor"/>
          <c:x val="-0.00175"/>
          <c:y val="-0.012"/>
        </c:manualLayout>
      </c:layout>
      <c:spPr>
        <a:noFill/>
        <a:ln w="3175">
          <a:noFill/>
        </a:ln>
      </c:spPr>
    </c:title>
    <c:plotArea>
      <c:layout>
        <c:manualLayout>
          <c:xMode val="edge"/>
          <c:yMode val="edge"/>
          <c:x val="0.0655"/>
          <c:y val="0.21075"/>
          <c:w val="0.5075"/>
          <c:h val="0.70775"/>
        </c:manualLayout>
      </c:layout>
      <c:pieChart>
        <c:varyColors val="1"/>
        <c:ser>
          <c:idx val="0"/>
          <c:order val="0"/>
          <c:tx>
            <c:strRef>
              <c:f>SummarySheetDataBasic!$B$1</c:f>
              <c:strCache>
                <c:ptCount val="1"/>
                <c:pt idx="0">
                  <c:v>Benefit</c:v>
                </c:pt>
              </c:strCache>
            </c:strRef>
          </c:tx>
          <c:spPr>
            <a:solidFill>
              <a:srgbClr val="F79646"/>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7B38"/>
              </a:solidFill>
              <a:ln w="3175">
                <a:noFill/>
              </a:ln>
            </c:spPr>
          </c:dPt>
          <c:dPt>
            <c:idx val="1"/>
            <c:spPr>
              <a:solidFill>
                <a:srgbClr val="F79646"/>
              </a:solidFill>
              <a:ln w="3175">
                <a:noFill/>
              </a:ln>
            </c:spPr>
          </c:dPt>
          <c:dPt>
            <c:idx val="2"/>
            <c:spPr>
              <a:solidFill>
                <a:srgbClr val="FAC3A8"/>
              </a:solidFill>
              <a:ln w="3175">
                <a:noFill/>
              </a:ln>
            </c:spPr>
          </c:dPt>
          <c:dLbls>
            <c:numFmt formatCode="General" sourceLinked="1"/>
            <c:spPr>
              <a:noFill/>
              <a:ln w="3175">
                <a:noFill/>
              </a:ln>
            </c:spPr>
            <c:dLblPos val="outEnd"/>
            <c:showLegendKey val="0"/>
            <c:showVal val="1"/>
            <c:showBubbleSize val="0"/>
            <c:showCatName val="0"/>
            <c:showSerName val="0"/>
            <c:showLeaderLines val="1"/>
            <c:showPercent val="1"/>
          </c:dLbls>
          <c:cat>
            <c:strRef>
              <c:f>SummarySheetDataBasic!$A$2:$A$4</c:f>
              <c:strCache>
                <c:ptCount val="3"/>
                <c:pt idx="0">
                  <c:v>1. Reduced bulk milk somatic cell count (BMSCC)</c:v>
                </c:pt>
                <c:pt idx="1">
                  <c:v>2. Reduced clinical mastitis</c:v>
                </c:pt>
                <c:pt idx="2">
                  <c:v>3. Reduced culling and death directly related to mastitis</c:v>
                </c:pt>
              </c:strCache>
            </c:strRef>
          </c:cat>
          <c:val>
            <c:numRef>
              <c:f>SummarySheetDataBasic!$B$2:$B$4</c:f>
              <c:numCache>
                <c:ptCount val="3"/>
                <c:pt idx="0">
                  <c:v>23800</c:v>
                </c:pt>
                <c:pt idx="1">
                  <c:v>4200</c:v>
                </c:pt>
                <c:pt idx="2">
                  <c:v>10800</c:v>
                </c:pt>
              </c:numCache>
            </c:numRef>
          </c:val>
        </c:ser>
      </c:pieChart>
      <c:spPr>
        <a:noFill/>
        <a:ln>
          <a:noFill/>
        </a:ln>
      </c:spPr>
    </c:plotArea>
    <c:legend>
      <c:legendPos val="r"/>
      <c:layout>
        <c:manualLayout>
          <c:xMode val="edge"/>
          <c:yMode val="edge"/>
          <c:x val="0.6465"/>
          <c:y val="0.197"/>
          <c:w val="0.34475"/>
          <c:h val="0.286"/>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Areas of potential economic benefit ('gap') when  mastitis control targets achieved</a:t>
            </a:r>
          </a:p>
        </c:rich>
      </c:tx>
      <c:layout>
        <c:manualLayout>
          <c:xMode val="factor"/>
          <c:yMode val="factor"/>
          <c:x val="-0.00175"/>
          <c:y val="-0.012"/>
        </c:manualLayout>
      </c:layout>
      <c:spPr>
        <a:noFill/>
        <a:ln w="3175">
          <a:noFill/>
        </a:ln>
      </c:spPr>
    </c:title>
    <c:plotArea>
      <c:layout>
        <c:manualLayout>
          <c:xMode val="edge"/>
          <c:yMode val="edge"/>
          <c:x val="0.0655"/>
          <c:y val="0.21075"/>
          <c:w val="0.5075"/>
          <c:h val="0.70775"/>
        </c:manualLayout>
      </c:layout>
      <c:pieChart>
        <c:varyColors val="1"/>
        <c:ser>
          <c:idx val="0"/>
          <c:order val="0"/>
          <c:spPr>
            <a:solidFill>
              <a:srgbClr val="F79646"/>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7B38"/>
              </a:solidFill>
              <a:ln w="3175">
                <a:noFill/>
              </a:ln>
            </c:spPr>
          </c:dPt>
          <c:dPt>
            <c:idx val="1"/>
            <c:spPr>
              <a:solidFill>
                <a:srgbClr val="F79646"/>
              </a:solidFill>
              <a:ln w="3175">
                <a:noFill/>
              </a:ln>
            </c:spPr>
          </c:dPt>
          <c:dPt>
            <c:idx val="2"/>
            <c:spPr>
              <a:solidFill>
                <a:srgbClr val="FAC3A8"/>
              </a:solidFill>
              <a:ln w="3175">
                <a:noFill/>
              </a:ln>
            </c:spPr>
          </c:dPt>
          <c:dLbls>
            <c:numFmt formatCode="General" sourceLinked="1"/>
            <c:spPr>
              <a:noFill/>
              <a:ln w="3175">
                <a:noFill/>
              </a:ln>
            </c:spPr>
            <c:dLblPos val="outEnd"/>
            <c:showLegendKey val="0"/>
            <c:showVal val="1"/>
            <c:showBubbleSize val="0"/>
            <c:showCatName val="0"/>
            <c:showSerName val="0"/>
            <c:showLeaderLines val="1"/>
            <c:showPercent val="1"/>
          </c:dLbls>
          <c:cat>
            <c:strRef>
              <c:f>SummarySheetDataInt!$A$2:$A$4</c:f>
              <c:strCache>
                <c:ptCount val="3"/>
                <c:pt idx="0">
                  <c:v>1. Reduced bulk milk somatic cell count (BMSCC)</c:v>
                </c:pt>
                <c:pt idx="1">
                  <c:v>2. Reduced clinical mastitis</c:v>
                </c:pt>
                <c:pt idx="2">
                  <c:v>3. Reduced culling and death directly related to mastitis</c:v>
                </c:pt>
              </c:strCache>
            </c:strRef>
          </c:cat>
          <c:val>
            <c:numRef>
              <c:f>SummarySheetDataInt!$B$2:$B$4</c:f>
              <c:numCache>
                <c:ptCount val="3"/>
                <c:pt idx="0">
                  <c:v>23800</c:v>
                </c:pt>
                <c:pt idx="1">
                  <c:v>4100</c:v>
                </c:pt>
                <c:pt idx="2">
                  <c:v>10800</c:v>
                </c:pt>
              </c:numCache>
            </c:numRef>
          </c:val>
        </c:ser>
      </c:pieChart>
      <c:spPr>
        <a:noFill/>
        <a:ln>
          <a:noFill/>
        </a:ln>
      </c:spPr>
    </c:plotArea>
    <c:legend>
      <c:legendPos val="r"/>
      <c:layout>
        <c:manualLayout>
          <c:xMode val="edge"/>
          <c:yMode val="edge"/>
          <c:x val="0.6465"/>
          <c:y val="0.226"/>
          <c:w val="0.34475"/>
          <c:h val="0.286"/>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Areas of potential economic benefit ('gap') when  mastitis control targets achieved</a:t>
            </a:r>
          </a:p>
        </c:rich>
      </c:tx>
      <c:layout>
        <c:manualLayout>
          <c:xMode val="factor"/>
          <c:yMode val="factor"/>
          <c:x val="-0.00175"/>
          <c:y val="-0.012"/>
        </c:manualLayout>
      </c:layout>
      <c:spPr>
        <a:noFill/>
        <a:ln w="3175">
          <a:noFill/>
        </a:ln>
      </c:spPr>
    </c:title>
    <c:plotArea>
      <c:layout>
        <c:manualLayout>
          <c:xMode val="edge"/>
          <c:yMode val="edge"/>
          <c:x val="0.0655"/>
          <c:y val="0.21075"/>
          <c:w val="0.5075"/>
          <c:h val="0.70775"/>
        </c:manualLayout>
      </c:layout>
      <c:pieChart>
        <c:varyColors val="1"/>
        <c:ser>
          <c:idx val="0"/>
          <c:order val="0"/>
          <c:tx>
            <c:strRef>
              <c:f>SummarySheetData!$B$1</c:f>
              <c:strCache>
                <c:ptCount val="1"/>
                <c:pt idx="0">
                  <c:v>Benefit</c:v>
                </c:pt>
              </c:strCache>
            </c:strRef>
          </c:tx>
          <c:spPr>
            <a:solidFill>
              <a:srgbClr val="F79646"/>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7B38"/>
              </a:solidFill>
              <a:ln w="3175">
                <a:noFill/>
              </a:ln>
            </c:spPr>
          </c:dPt>
          <c:dPt>
            <c:idx val="1"/>
            <c:spPr>
              <a:solidFill>
                <a:srgbClr val="F79646"/>
              </a:solidFill>
              <a:ln w="3175">
                <a:noFill/>
              </a:ln>
            </c:spPr>
          </c:dPt>
          <c:dPt>
            <c:idx val="2"/>
            <c:spPr>
              <a:solidFill>
                <a:srgbClr val="FAC3A8"/>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1"/>
            </c:dLbl>
            <c:numFmt formatCode="General" sourceLinked="1"/>
            <c:spPr>
              <a:noFill/>
              <a:ln w="3175">
                <a:noFill/>
              </a:ln>
            </c:spPr>
            <c:dLblPos val="outEnd"/>
            <c:showLegendKey val="0"/>
            <c:showVal val="1"/>
            <c:showBubbleSize val="0"/>
            <c:showCatName val="0"/>
            <c:showSerName val="0"/>
            <c:showLeaderLines val="0"/>
            <c:showPercent val="1"/>
          </c:dLbls>
          <c:cat>
            <c:strRef>
              <c:f>SummarySheetData!$A$2:$A$4</c:f>
              <c:strCache>
                <c:ptCount val="3"/>
                <c:pt idx="0">
                  <c:v>1. Reduced bulk milk somatic cell count (BMSCC)</c:v>
                </c:pt>
                <c:pt idx="1">
                  <c:v>2. Reduced clinical mastitis</c:v>
                </c:pt>
                <c:pt idx="2">
                  <c:v>3. Reduced culling and death directly related to mastitis</c:v>
                </c:pt>
              </c:strCache>
            </c:strRef>
          </c:cat>
          <c:val>
            <c:numRef>
              <c:f>SummarySheetData!$B$2:$B$4</c:f>
              <c:numCache>
                <c:ptCount val="3"/>
                <c:pt idx="0">
                  <c:v>26100</c:v>
                </c:pt>
                <c:pt idx="1">
                  <c:v>4100</c:v>
                </c:pt>
                <c:pt idx="2">
                  <c:v>13000</c:v>
                </c:pt>
              </c:numCache>
            </c:numRef>
          </c:val>
        </c:ser>
      </c:pieChart>
      <c:spPr>
        <a:noFill/>
        <a:ln>
          <a:noFill/>
        </a:ln>
      </c:spPr>
    </c:plotArea>
    <c:legend>
      <c:legendPos val="r"/>
      <c:layout>
        <c:manualLayout>
          <c:xMode val="edge"/>
          <c:yMode val="edge"/>
          <c:x val="0.6465"/>
          <c:y val="0.21625"/>
          <c:w val="0.34475"/>
          <c:h val="0.286"/>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DataInputBasic '!A1" /><Relationship Id="rId2" Type="http://schemas.openxmlformats.org/officeDocument/2006/relationships/image" Target="../media/image1.jpeg" /><Relationship Id="rId3" Type="http://schemas.openxmlformats.org/officeDocument/2006/relationships/hyperlink" Target="#DataInputIntermediate!A1" /><Relationship Id="rId4" Type="http://schemas.openxmlformats.org/officeDocument/2006/relationships/hyperlink" Target="#DataInputAdvanced!A1" /><Relationship Id="rId5"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 Id="rId3" Type="http://schemas.openxmlformats.org/officeDocument/2006/relationships/hyperlink" Target="#Welcome!A1" /><Relationship Id="rId4" Type="http://schemas.openxmlformats.org/officeDocument/2006/relationships/hyperlink" Target="#SummaryBasic!A1" /><Relationship Id="rId5" Type="http://schemas.openxmlformats.org/officeDocument/2006/relationships/hyperlink" Target="#Welcome!A1" /><Relationship Id="rId6" Type="http://schemas.openxmlformats.org/officeDocument/2006/relationships/hyperlink" Target="#SummaryBasic!A1" /><Relationship Id="rId7"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 Id="rId3" Type="http://schemas.openxmlformats.org/officeDocument/2006/relationships/hyperlink" Target="#Welcome!A1" /><Relationship Id="rId4" Type="http://schemas.openxmlformats.org/officeDocument/2006/relationships/hyperlink" Target="#'Summary Intermediate'!A1" /><Relationship Id="rId5" Type="http://schemas.openxmlformats.org/officeDocument/2006/relationships/hyperlink" Target="#Welcome!A1" /><Relationship Id="rId6" Type="http://schemas.openxmlformats.org/officeDocument/2006/relationships/hyperlink" Target="#'Summary Intermediate'!A1" /><Relationship Id="rId7"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 Id="rId3" Type="http://schemas.openxmlformats.org/officeDocument/2006/relationships/hyperlink" Target="#Welcome!A1" /><Relationship Id="rId4" Type="http://schemas.openxmlformats.org/officeDocument/2006/relationships/hyperlink" Target="#'Summary Advanced'!A1" /><Relationship Id="rId5" Type="http://schemas.openxmlformats.org/officeDocument/2006/relationships/hyperlink" Target="#Welcome!A1" /><Relationship Id="rId6" Type="http://schemas.openxmlformats.org/officeDocument/2006/relationships/hyperlink" Target="#'Summary Advanced'!A1" /><Relationship Id="rId7"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hyperlink" Target="#'DataInputBasic '!A1"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 Id="rId3" Type="http://schemas.openxmlformats.org/officeDocument/2006/relationships/hyperlink" Target="#DataInputIntermediate!A1" /><Relationship Id="rId4"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 Id="rId3" Type="http://schemas.openxmlformats.org/officeDocument/2006/relationships/hyperlink" Target="#DataInputAdvanced!A1"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66675</xdr:rowOff>
    </xdr:from>
    <xdr:to>
      <xdr:col>1</xdr:col>
      <xdr:colOff>1304925</xdr:colOff>
      <xdr:row>14</xdr:row>
      <xdr:rowOff>142875</xdr:rowOff>
    </xdr:to>
    <xdr:sp>
      <xdr:nvSpPr>
        <xdr:cNvPr id="1" name="Rectangle 3">
          <a:hlinkClick r:id="rId1"/>
        </xdr:cNvPr>
        <xdr:cNvSpPr>
          <a:spLocks/>
        </xdr:cNvSpPr>
      </xdr:nvSpPr>
      <xdr:spPr>
        <a:xfrm>
          <a:off x="600075" y="4362450"/>
          <a:ext cx="1295400" cy="857250"/>
        </a:xfrm>
        <a:prstGeom prst="rect">
          <a:avLst/>
        </a:prstGeom>
        <a:solidFill>
          <a:srgbClr val="E06C08"/>
        </a:solidFill>
        <a:ln w="9525" cmpd="sng">
          <a:noFill/>
        </a:ln>
      </xdr:spPr>
      <xdr:txBody>
        <a:bodyPr vertOverflow="clip" wrap="square" lIns="91440" tIns="45720" rIns="91440" bIns="45720" anchor="ctr"/>
        <a:p>
          <a:pPr algn="ctr">
            <a:defRPr/>
          </a:pPr>
          <a:r>
            <a:rPr lang="en-US" cap="none" sz="1050" b="1" i="0" u="none" baseline="0">
              <a:solidFill>
                <a:srgbClr val="FFFFFF"/>
              </a:solidFill>
            </a:rPr>
            <a:t>BASIC</a:t>
          </a:r>
        </a:p>
      </xdr:txBody>
    </xdr:sp>
    <xdr:clientData/>
  </xdr:twoCellAnchor>
  <xdr:twoCellAnchor editAs="oneCell">
    <xdr:from>
      <xdr:col>0</xdr:col>
      <xdr:colOff>581025</xdr:colOff>
      <xdr:row>0</xdr:row>
      <xdr:rowOff>66675</xdr:rowOff>
    </xdr:from>
    <xdr:to>
      <xdr:col>4</xdr:col>
      <xdr:colOff>428625</xdr:colOff>
      <xdr:row>1</xdr:row>
      <xdr:rowOff>571500</xdr:rowOff>
    </xdr:to>
    <xdr:pic>
      <xdr:nvPicPr>
        <xdr:cNvPr id="2" name="Picture 3" descr="SmartSAMMStrapline.jpg"/>
        <xdr:cNvPicPr preferRelativeResize="1">
          <a:picLocks noChangeAspect="1"/>
        </xdr:cNvPicPr>
      </xdr:nvPicPr>
      <xdr:blipFill>
        <a:blip r:embed="rId2"/>
        <a:stretch>
          <a:fillRect/>
        </a:stretch>
      </xdr:blipFill>
      <xdr:spPr>
        <a:xfrm>
          <a:off x="581025" y="66675"/>
          <a:ext cx="2781300" cy="695325"/>
        </a:xfrm>
        <a:prstGeom prst="rect">
          <a:avLst/>
        </a:prstGeom>
        <a:noFill/>
        <a:ln w="9525" cmpd="sng">
          <a:noFill/>
        </a:ln>
      </xdr:spPr>
    </xdr:pic>
    <xdr:clientData/>
  </xdr:twoCellAnchor>
  <xdr:twoCellAnchor>
    <xdr:from>
      <xdr:col>1</xdr:col>
      <xdr:colOff>9525</xdr:colOff>
      <xdr:row>15</xdr:row>
      <xdr:rowOff>47625</xdr:rowOff>
    </xdr:from>
    <xdr:to>
      <xdr:col>1</xdr:col>
      <xdr:colOff>1304925</xdr:colOff>
      <xdr:row>17</xdr:row>
      <xdr:rowOff>219075</xdr:rowOff>
    </xdr:to>
    <xdr:sp>
      <xdr:nvSpPr>
        <xdr:cNvPr id="3" name="Rectangle 5">
          <a:hlinkClick r:id="rId3"/>
        </xdr:cNvPr>
        <xdr:cNvSpPr>
          <a:spLocks/>
        </xdr:cNvSpPr>
      </xdr:nvSpPr>
      <xdr:spPr>
        <a:xfrm>
          <a:off x="600075" y="5410200"/>
          <a:ext cx="1295400" cy="876300"/>
        </a:xfrm>
        <a:prstGeom prst="rect">
          <a:avLst/>
        </a:prstGeom>
        <a:solidFill>
          <a:srgbClr val="E06C08"/>
        </a:solidFill>
        <a:ln w="9525" cmpd="sng">
          <a:noFill/>
        </a:ln>
      </xdr:spPr>
      <xdr:txBody>
        <a:bodyPr vertOverflow="clip" wrap="square" lIns="91440" tIns="45720" rIns="91440" bIns="45720" anchor="ctr"/>
        <a:p>
          <a:pPr algn="ctr">
            <a:defRPr/>
          </a:pPr>
          <a:r>
            <a:rPr lang="en-US" cap="none" sz="1050" b="1" i="0" u="none" baseline="0">
              <a:solidFill>
                <a:srgbClr val="FFFFFF"/>
              </a:solidFill>
            </a:rPr>
            <a:t>INTERMEDIATE</a:t>
          </a:r>
        </a:p>
      </xdr:txBody>
    </xdr:sp>
    <xdr:clientData/>
  </xdr:twoCellAnchor>
  <xdr:twoCellAnchor>
    <xdr:from>
      <xdr:col>1</xdr:col>
      <xdr:colOff>0</xdr:colOff>
      <xdr:row>18</xdr:row>
      <xdr:rowOff>104775</xdr:rowOff>
    </xdr:from>
    <xdr:to>
      <xdr:col>1</xdr:col>
      <xdr:colOff>1295400</xdr:colOff>
      <xdr:row>21</xdr:row>
      <xdr:rowOff>38100</xdr:rowOff>
    </xdr:to>
    <xdr:sp>
      <xdr:nvSpPr>
        <xdr:cNvPr id="4" name="Rectangle 6">
          <a:hlinkClick r:id="rId4"/>
        </xdr:cNvPr>
        <xdr:cNvSpPr>
          <a:spLocks/>
        </xdr:cNvSpPr>
      </xdr:nvSpPr>
      <xdr:spPr>
        <a:xfrm>
          <a:off x="590550" y="6457950"/>
          <a:ext cx="1295400" cy="876300"/>
        </a:xfrm>
        <a:prstGeom prst="rect">
          <a:avLst/>
        </a:prstGeom>
        <a:solidFill>
          <a:srgbClr val="E06C08"/>
        </a:solidFill>
        <a:ln w="9525" cmpd="sng">
          <a:noFill/>
        </a:ln>
      </xdr:spPr>
      <xdr:txBody>
        <a:bodyPr vertOverflow="clip" wrap="square" lIns="91440" tIns="45720" rIns="91440" bIns="45720" anchor="ctr"/>
        <a:p>
          <a:pPr algn="ctr">
            <a:defRPr/>
          </a:pPr>
          <a:r>
            <a:rPr lang="en-US" cap="none" sz="1050" b="1" i="0" u="none" baseline="0">
              <a:solidFill>
                <a:srgbClr val="FFFFFF"/>
              </a:solidFill>
            </a:rPr>
            <a:t>ADVANCED</a:t>
          </a:r>
        </a:p>
      </xdr:txBody>
    </xdr:sp>
    <xdr:clientData/>
  </xdr:twoCellAnchor>
  <xdr:twoCellAnchor editAs="oneCell">
    <xdr:from>
      <xdr:col>9</xdr:col>
      <xdr:colOff>390525</xdr:colOff>
      <xdr:row>0</xdr:row>
      <xdr:rowOff>190500</xdr:rowOff>
    </xdr:from>
    <xdr:to>
      <xdr:col>11</xdr:col>
      <xdr:colOff>581025</xdr:colOff>
      <xdr:row>1</xdr:row>
      <xdr:rowOff>485775</xdr:rowOff>
    </xdr:to>
    <xdr:pic>
      <xdr:nvPicPr>
        <xdr:cNvPr id="5" name="Picture 1"/>
        <xdr:cNvPicPr preferRelativeResize="1">
          <a:picLocks noChangeAspect="1"/>
        </xdr:cNvPicPr>
      </xdr:nvPicPr>
      <xdr:blipFill>
        <a:blip r:embed="rId5"/>
        <a:stretch>
          <a:fillRect/>
        </a:stretch>
      </xdr:blipFill>
      <xdr:spPr>
        <a:xfrm>
          <a:off x="6496050" y="190500"/>
          <a:ext cx="16002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333375</xdr:colOff>
      <xdr:row>3</xdr:row>
      <xdr:rowOff>9525</xdr:rowOff>
    </xdr:from>
    <xdr:to>
      <xdr:col>5</xdr:col>
      <xdr:colOff>504825</xdr:colOff>
      <xdr:row>5</xdr:row>
      <xdr:rowOff>180975</xdr:rowOff>
    </xdr:to>
    <xdr:pic>
      <xdr:nvPicPr>
        <xdr:cNvPr id="1" name="Picture 1" descr="SmartSamm_Hor_RGB_POS_strap.jpg" hidden="1"/>
        <xdr:cNvPicPr preferRelativeResize="1">
          <a:picLocks noChangeAspect="1"/>
        </xdr:cNvPicPr>
      </xdr:nvPicPr>
      <xdr:blipFill>
        <a:blip r:embed="rId1"/>
        <a:srcRect l="2639" t="10935" r="3936" b="12066"/>
        <a:stretch>
          <a:fillRect/>
        </a:stretch>
      </xdr:blipFill>
      <xdr:spPr>
        <a:xfrm>
          <a:off x="6105525" y="1400175"/>
          <a:ext cx="2286000" cy="571500"/>
        </a:xfrm>
        <a:prstGeom prst="rect">
          <a:avLst/>
        </a:prstGeom>
        <a:noFill/>
        <a:ln w="9525" cmpd="sng">
          <a:noFill/>
        </a:ln>
      </xdr:spPr>
    </xdr:pic>
    <xdr:clientData/>
  </xdr:twoCellAnchor>
  <xdr:twoCellAnchor editAs="oneCell">
    <xdr:from>
      <xdr:col>0</xdr:col>
      <xdr:colOff>400050</xdr:colOff>
      <xdr:row>0</xdr:row>
      <xdr:rowOff>123825</xdr:rowOff>
    </xdr:from>
    <xdr:to>
      <xdr:col>1</xdr:col>
      <xdr:colOff>2409825</xdr:colOff>
      <xdr:row>1</xdr:row>
      <xdr:rowOff>542925</xdr:rowOff>
    </xdr:to>
    <xdr:pic>
      <xdr:nvPicPr>
        <xdr:cNvPr id="2" name="Picture 3" descr="SmartSAMMStrapline.jpg"/>
        <xdr:cNvPicPr preferRelativeResize="1">
          <a:picLocks noChangeAspect="1"/>
        </xdr:cNvPicPr>
      </xdr:nvPicPr>
      <xdr:blipFill>
        <a:blip r:embed="rId2"/>
        <a:stretch>
          <a:fillRect/>
        </a:stretch>
      </xdr:blipFill>
      <xdr:spPr>
        <a:xfrm>
          <a:off x="400050" y="123825"/>
          <a:ext cx="2438400" cy="609600"/>
        </a:xfrm>
        <a:prstGeom prst="rect">
          <a:avLst/>
        </a:prstGeom>
        <a:noFill/>
        <a:ln w="9525" cmpd="sng">
          <a:noFill/>
        </a:ln>
      </xdr:spPr>
    </xdr:pic>
    <xdr:clientData/>
  </xdr:twoCellAnchor>
  <xdr:twoCellAnchor>
    <xdr:from>
      <xdr:col>3</xdr:col>
      <xdr:colOff>838200</xdr:colOff>
      <xdr:row>0</xdr:row>
      <xdr:rowOff>180975</xdr:rowOff>
    </xdr:from>
    <xdr:to>
      <xdr:col>6</xdr:col>
      <xdr:colOff>9525</xdr:colOff>
      <xdr:row>1</xdr:row>
      <xdr:rowOff>495300</xdr:rowOff>
    </xdr:to>
    <xdr:sp>
      <xdr:nvSpPr>
        <xdr:cNvPr id="3" name="Rectangle 5"/>
        <xdr:cNvSpPr>
          <a:spLocks/>
        </xdr:cNvSpPr>
      </xdr:nvSpPr>
      <xdr:spPr>
        <a:xfrm>
          <a:off x="6610350" y="180975"/>
          <a:ext cx="2343150" cy="504825"/>
        </a:xfrm>
        <a:prstGeom prst="rect">
          <a:avLst/>
        </a:prstGeom>
        <a:solidFill>
          <a:srgbClr val="E06C08"/>
        </a:solidFill>
        <a:ln w="9525" cmpd="sng">
          <a:noFill/>
        </a:ln>
      </xdr:spPr>
      <xdr:txBody>
        <a:bodyPr vertOverflow="clip" wrap="square" lIns="91440" tIns="45720" rIns="91440" bIns="45720" anchor="ctr"/>
        <a:p>
          <a:pPr algn="ctr">
            <a:defRPr/>
          </a:pPr>
          <a:r>
            <a:rPr lang="en-US" cap="none" sz="1800" b="1" i="0" u="none" baseline="0">
              <a:solidFill>
                <a:srgbClr val="FFFFFF"/>
              </a:solidFill>
            </a:rPr>
            <a:t>Basic</a:t>
          </a:r>
        </a:p>
      </xdr:txBody>
    </xdr:sp>
    <xdr:clientData/>
  </xdr:twoCellAnchor>
  <xdr:twoCellAnchor>
    <xdr:from>
      <xdr:col>3</xdr:col>
      <xdr:colOff>828675</xdr:colOff>
      <xdr:row>1</xdr:row>
      <xdr:rowOff>552450</xdr:rowOff>
    </xdr:from>
    <xdr:to>
      <xdr:col>4</xdr:col>
      <xdr:colOff>552450</xdr:colOff>
      <xdr:row>1</xdr:row>
      <xdr:rowOff>819150</xdr:rowOff>
    </xdr:to>
    <xdr:sp>
      <xdr:nvSpPr>
        <xdr:cNvPr id="4" name="Rectangle 8">
          <a:hlinkClick r:id="rId3"/>
        </xdr:cNvPr>
        <xdr:cNvSpPr>
          <a:spLocks/>
        </xdr:cNvSpPr>
      </xdr:nvSpPr>
      <xdr:spPr>
        <a:xfrm>
          <a:off x="6600825" y="742950"/>
          <a:ext cx="781050" cy="266700"/>
        </a:xfrm>
        <a:prstGeom prst="rect">
          <a:avLst/>
        </a:prstGeom>
        <a:solidFill>
          <a:srgbClr val="E06C08"/>
        </a:solidFill>
        <a:ln w="9525" cmpd="sng">
          <a:noFill/>
        </a:ln>
      </xdr:spPr>
      <xdr:txBody>
        <a:bodyPr vertOverflow="clip" wrap="square" lIns="91440" tIns="45720" rIns="91440" bIns="45720" anchor="ctr"/>
        <a:p>
          <a:pPr algn="ctr">
            <a:defRPr/>
          </a:pPr>
          <a:r>
            <a:rPr lang="en-US" cap="none" sz="1050" b="1" i="0" u="none" baseline="0">
              <a:solidFill>
                <a:srgbClr val="FFFFFF"/>
              </a:solidFill>
            </a:rPr>
            <a:t>&lt; HOME</a:t>
          </a:r>
        </a:p>
      </xdr:txBody>
    </xdr:sp>
    <xdr:clientData/>
  </xdr:twoCellAnchor>
  <xdr:twoCellAnchor>
    <xdr:from>
      <xdr:col>4</xdr:col>
      <xdr:colOff>609600</xdr:colOff>
      <xdr:row>1</xdr:row>
      <xdr:rowOff>552450</xdr:rowOff>
    </xdr:from>
    <xdr:to>
      <xdr:col>6</xdr:col>
      <xdr:colOff>0</xdr:colOff>
      <xdr:row>1</xdr:row>
      <xdr:rowOff>819150</xdr:rowOff>
    </xdr:to>
    <xdr:sp>
      <xdr:nvSpPr>
        <xdr:cNvPr id="5" name="Rectangle 9">
          <a:hlinkClick r:id="rId4"/>
        </xdr:cNvPr>
        <xdr:cNvSpPr>
          <a:spLocks/>
        </xdr:cNvSpPr>
      </xdr:nvSpPr>
      <xdr:spPr>
        <a:xfrm>
          <a:off x="7439025" y="742950"/>
          <a:ext cx="1504950" cy="266700"/>
        </a:xfrm>
        <a:prstGeom prst="rect">
          <a:avLst/>
        </a:prstGeom>
        <a:solidFill>
          <a:srgbClr val="E06C08"/>
        </a:solidFill>
        <a:ln w="9525" cmpd="sng">
          <a:noFill/>
        </a:ln>
      </xdr:spPr>
      <xdr:txBody>
        <a:bodyPr vertOverflow="clip" wrap="square" lIns="91440" tIns="45720" rIns="91440" bIns="45720" anchor="ctr"/>
        <a:p>
          <a:pPr algn="ctr">
            <a:defRPr/>
          </a:pPr>
          <a:r>
            <a:rPr lang="en-US" cap="none" sz="1050" b="1" i="0" u="none" baseline="0">
              <a:solidFill>
                <a:srgbClr val="FFFFFF"/>
              </a:solidFill>
            </a:rPr>
            <a:t>VIEW</a:t>
          </a:r>
          <a:r>
            <a:rPr lang="en-US" cap="none" sz="1050" b="1" i="0" u="none" baseline="0">
              <a:solidFill>
                <a:srgbClr val="FFFFFF"/>
              </a:solidFill>
            </a:rPr>
            <a:t> SUMMARY &gt;</a:t>
          </a:r>
        </a:p>
      </xdr:txBody>
    </xdr:sp>
    <xdr:clientData/>
  </xdr:twoCellAnchor>
  <xdr:twoCellAnchor>
    <xdr:from>
      <xdr:col>1</xdr:col>
      <xdr:colOff>0</xdr:colOff>
      <xdr:row>95</xdr:row>
      <xdr:rowOff>38100</xdr:rowOff>
    </xdr:from>
    <xdr:to>
      <xdr:col>1</xdr:col>
      <xdr:colOff>781050</xdr:colOff>
      <xdr:row>96</xdr:row>
      <xdr:rowOff>19050</xdr:rowOff>
    </xdr:to>
    <xdr:sp>
      <xdr:nvSpPr>
        <xdr:cNvPr id="6" name="Rectangle 10">
          <a:hlinkClick r:id="rId5"/>
        </xdr:cNvPr>
        <xdr:cNvSpPr>
          <a:spLocks/>
        </xdr:cNvSpPr>
      </xdr:nvSpPr>
      <xdr:spPr>
        <a:xfrm>
          <a:off x="428625" y="12439650"/>
          <a:ext cx="781050" cy="266700"/>
        </a:xfrm>
        <a:prstGeom prst="rect">
          <a:avLst/>
        </a:prstGeom>
        <a:solidFill>
          <a:srgbClr val="E06C08"/>
        </a:solidFill>
        <a:ln w="9525" cmpd="sng">
          <a:noFill/>
        </a:ln>
      </xdr:spPr>
      <xdr:txBody>
        <a:bodyPr vertOverflow="clip" wrap="square" lIns="91440" tIns="45720" rIns="91440" bIns="45720" anchor="ctr"/>
        <a:p>
          <a:pPr algn="ctr">
            <a:defRPr/>
          </a:pPr>
          <a:r>
            <a:rPr lang="en-US" cap="none" sz="1050" b="1" i="0" u="none" baseline="0">
              <a:solidFill>
                <a:srgbClr val="FFFFFF"/>
              </a:solidFill>
            </a:rPr>
            <a:t>&lt; HOME</a:t>
          </a:r>
        </a:p>
      </xdr:txBody>
    </xdr:sp>
    <xdr:clientData/>
  </xdr:twoCellAnchor>
  <xdr:twoCellAnchor>
    <xdr:from>
      <xdr:col>1</xdr:col>
      <xdr:colOff>838200</xdr:colOff>
      <xdr:row>95</xdr:row>
      <xdr:rowOff>38100</xdr:rowOff>
    </xdr:from>
    <xdr:to>
      <xdr:col>1</xdr:col>
      <xdr:colOff>2343150</xdr:colOff>
      <xdr:row>96</xdr:row>
      <xdr:rowOff>19050</xdr:rowOff>
    </xdr:to>
    <xdr:sp>
      <xdr:nvSpPr>
        <xdr:cNvPr id="7" name="Rectangle 11">
          <a:hlinkClick r:id="rId6"/>
        </xdr:cNvPr>
        <xdr:cNvSpPr>
          <a:spLocks/>
        </xdr:cNvSpPr>
      </xdr:nvSpPr>
      <xdr:spPr>
        <a:xfrm>
          <a:off x="1266825" y="12439650"/>
          <a:ext cx="1504950" cy="266700"/>
        </a:xfrm>
        <a:prstGeom prst="rect">
          <a:avLst/>
        </a:prstGeom>
        <a:solidFill>
          <a:srgbClr val="E06C08"/>
        </a:solidFill>
        <a:ln w="9525" cmpd="sng">
          <a:noFill/>
        </a:ln>
      </xdr:spPr>
      <xdr:txBody>
        <a:bodyPr vertOverflow="clip" wrap="square" lIns="91440" tIns="45720" rIns="91440" bIns="45720" anchor="ctr"/>
        <a:p>
          <a:pPr algn="ctr">
            <a:defRPr/>
          </a:pPr>
          <a:r>
            <a:rPr lang="en-US" cap="none" sz="1050" b="1" i="0" u="none" baseline="0">
              <a:solidFill>
                <a:srgbClr val="FFFFFF"/>
              </a:solidFill>
            </a:rPr>
            <a:t>VIEW</a:t>
          </a:r>
          <a:r>
            <a:rPr lang="en-US" cap="none" sz="1050" b="1" i="0" u="none" baseline="0">
              <a:solidFill>
                <a:srgbClr val="FFFFFF"/>
              </a:solidFill>
            </a:rPr>
            <a:t> SUMMARY &gt;</a:t>
          </a:r>
        </a:p>
      </xdr:txBody>
    </xdr:sp>
    <xdr:clientData/>
  </xdr:twoCellAnchor>
  <xdr:twoCellAnchor editAs="oneCell">
    <xdr:from>
      <xdr:col>3</xdr:col>
      <xdr:colOff>333375</xdr:colOff>
      <xdr:row>3</xdr:row>
      <xdr:rowOff>9525</xdr:rowOff>
    </xdr:from>
    <xdr:to>
      <xdr:col>5</xdr:col>
      <xdr:colOff>504825</xdr:colOff>
      <xdr:row>5</xdr:row>
      <xdr:rowOff>180975</xdr:rowOff>
    </xdr:to>
    <xdr:pic>
      <xdr:nvPicPr>
        <xdr:cNvPr id="8" name="Picture 1" descr="SmartSamm_Hor_RGB_POS_strap.jpg" hidden="1"/>
        <xdr:cNvPicPr preferRelativeResize="1">
          <a:picLocks noChangeAspect="1"/>
        </xdr:cNvPicPr>
      </xdr:nvPicPr>
      <xdr:blipFill>
        <a:blip r:embed="rId1"/>
        <a:srcRect l="2639" t="10935" r="3936" b="12066"/>
        <a:stretch>
          <a:fillRect/>
        </a:stretch>
      </xdr:blipFill>
      <xdr:spPr>
        <a:xfrm>
          <a:off x="6105525" y="1400175"/>
          <a:ext cx="2286000" cy="571500"/>
        </a:xfrm>
        <a:prstGeom prst="rect">
          <a:avLst/>
        </a:prstGeom>
        <a:noFill/>
        <a:ln w="9525" cmpd="sng">
          <a:noFill/>
        </a:ln>
      </xdr:spPr>
    </xdr:pic>
    <xdr:clientData/>
  </xdr:twoCellAnchor>
  <xdr:twoCellAnchor editAs="oneCell">
    <xdr:from>
      <xdr:col>1</xdr:col>
      <xdr:colOff>3362325</xdr:colOff>
      <xdr:row>1</xdr:row>
      <xdr:rowOff>0</xdr:rowOff>
    </xdr:from>
    <xdr:to>
      <xdr:col>2</xdr:col>
      <xdr:colOff>723900</xdr:colOff>
      <xdr:row>1</xdr:row>
      <xdr:rowOff>504825</xdr:rowOff>
    </xdr:to>
    <xdr:pic>
      <xdr:nvPicPr>
        <xdr:cNvPr id="9" name="Picture 1"/>
        <xdr:cNvPicPr preferRelativeResize="1">
          <a:picLocks noChangeAspect="1"/>
        </xdr:cNvPicPr>
      </xdr:nvPicPr>
      <xdr:blipFill>
        <a:blip r:embed="rId7"/>
        <a:stretch>
          <a:fillRect/>
        </a:stretch>
      </xdr:blipFill>
      <xdr:spPr>
        <a:xfrm>
          <a:off x="3790950" y="190500"/>
          <a:ext cx="1647825" cy="50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333375</xdr:colOff>
      <xdr:row>3</xdr:row>
      <xdr:rowOff>9525</xdr:rowOff>
    </xdr:from>
    <xdr:to>
      <xdr:col>5</xdr:col>
      <xdr:colOff>504825</xdr:colOff>
      <xdr:row>5</xdr:row>
      <xdr:rowOff>180975</xdr:rowOff>
    </xdr:to>
    <xdr:pic>
      <xdr:nvPicPr>
        <xdr:cNvPr id="1" name="Picture 1" descr="SmartSamm_Hor_RGB_POS_strap.jpg" hidden="1"/>
        <xdr:cNvPicPr preferRelativeResize="1">
          <a:picLocks noChangeAspect="1"/>
        </xdr:cNvPicPr>
      </xdr:nvPicPr>
      <xdr:blipFill>
        <a:blip r:embed="rId1"/>
        <a:srcRect l="2639" t="10935" r="3936" b="12066"/>
        <a:stretch>
          <a:fillRect/>
        </a:stretch>
      </xdr:blipFill>
      <xdr:spPr>
        <a:xfrm>
          <a:off x="6105525" y="1400175"/>
          <a:ext cx="2286000" cy="571500"/>
        </a:xfrm>
        <a:prstGeom prst="rect">
          <a:avLst/>
        </a:prstGeom>
        <a:noFill/>
        <a:ln w="9525" cmpd="sng">
          <a:noFill/>
        </a:ln>
      </xdr:spPr>
    </xdr:pic>
    <xdr:clientData/>
  </xdr:twoCellAnchor>
  <xdr:twoCellAnchor editAs="oneCell">
    <xdr:from>
      <xdr:col>0</xdr:col>
      <xdr:colOff>400050</xdr:colOff>
      <xdr:row>0</xdr:row>
      <xdr:rowOff>123825</xdr:rowOff>
    </xdr:from>
    <xdr:to>
      <xdr:col>1</xdr:col>
      <xdr:colOff>2409825</xdr:colOff>
      <xdr:row>1</xdr:row>
      <xdr:rowOff>542925</xdr:rowOff>
    </xdr:to>
    <xdr:pic>
      <xdr:nvPicPr>
        <xdr:cNvPr id="2" name="Picture 3" descr="SmartSAMMStrapline.jpg"/>
        <xdr:cNvPicPr preferRelativeResize="1">
          <a:picLocks noChangeAspect="1"/>
        </xdr:cNvPicPr>
      </xdr:nvPicPr>
      <xdr:blipFill>
        <a:blip r:embed="rId2"/>
        <a:stretch>
          <a:fillRect/>
        </a:stretch>
      </xdr:blipFill>
      <xdr:spPr>
        <a:xfrm>
          <a:off x="400050" y="123825"/>
          <a:ext cx="2438400" cy="609600"/>
        </a:xfrm>
        <a:prstGeom prst="rect">
          <a:avLst/>
        </a:prstGeom>
        <a:noFill/>
        <a:ln w="9525" cmpd="sng">
          <a:noFill/>
        </a:ln>
      </xdr:spPr>
    </xdr:pic>
    <xdr:clientData/>
  </xdr:twoCellAnchor>
  <xdr:twoCellAnchor>
    <xdr:from>
      <xdr:col>3</xdr:col>
      <xdr:colOff>819150</xdr:colOff>
      <xdr:row>0</xdr:row>
      <xdr:rowOff>161925</xdr:rowOff>
    </xdr:from>
    <xdr:to>
      <xdr:col>6</xdr:col>
      <xdr:colOff>0</xdr:colOff>
      <xdr:row>1</xdr:row>
      <xdr:rowOff>476250</xdr:rowOff>
    </xdr:to>
    <xdr:sp>
      <xdr:nvSpPr>
        <xdr:cNvPr id="3" name="Rectangle 5"/>
        <xdr:cNvSpPr>
          <a:spLocks/>
        </xdr:cNvSpPr>
      </xdr:nvSpPr>
      <xdr:spPr>
        <a:xfrm>
          <a:off x="6591300" y="161925"/>
          <a:ext cx="2352675" cy="504825"/>
        </a:xfrm>
        <a:prstGeom prst="rect">
          <a:avLst/>
        </a:prstGeom>
        <a:solidFill>
          <a:srgbClr val="E06C08"/>
        </a:solidFill>
        <a:ln w="9525" cmpd="sng">
          <a:noFill/>
        </a:ln>
      </xdr:spPr>
      <xdr:txBody>
        <a:bodyPr vertOverflow="clip" wrap="square" lIns="91440" tIns="45720" rIns="91440" bIns="45720" anchor="ctr"/>
        <a:p>
          <a:pPr algn="ctr">
            <a:defRPr/>
          </a:pPr>
          <a:r>
            <a:rPr lang="en-US" cap="none" sz="1800" b="1" i="0" u="none" baseline="0">
              <a:solidFill>
                <a:srgbClr val="FFFFFF"/>
              </a:solidFill>
            </a:rPr>
            <a:t>Intermediate</a:t>
          </a:r>
        </a:p>
      </xdr:txBody>
    </xdr:sp>
    <xdr:clientData/>
  </xdr:twoCellAnchor>
  <xdr:twoCellAnchor>
    <xdr:from>
      <xdr:col>3</xdr:col>
      <xdr:colOff>838200</xdr:colOff>
      <xdr:row>1</xdr:row>
      <xdr:rowOff>542925</xdr:rowOff>
    </xdr:from>
    <xdr:to>
      <xdr:col>4</xdr:col>
      <xdr:colOff>561975</xdr:colOff>
      <xdr:row>1</xdr:row>
      <xdr:rowOff>809625</xdr:rowOff>
    </xdr:to>
    <xdr:sp>
      <xdr:nvSpPr>
        <xdr:cNvPr id="4" name="Rectangle 8">
          <a:hlinkClick r:id="rId3"/>
        </xdr:cNvPr>
        <xdr:cNvSpPr>
          <a:spLocks/>
        </xdr:cNvSpPr>
      </xdr:nvSpPr>
      <xdr:spPr>
        <a:xfrm>
          <a:off x="6610350" y="733425"/>
          <a:ext cx="781050" cy="266700"/>
        </a:xfrm>
        <a:prstGeom prst="rect">
          <a:avLst/>
        </a:prstGeom>
        <a:solidFill>
          <a:srgbClr val="E06C08"/>
        </a:solidFill>
        <a:ln w="9525" cmpd="sng">
          <a:noFill/>
        </a:ln>
      </xdr:spPr>
      <xdr:txBody>
        <a:bodyPr vertOverflow="clip" wrap="square" lIns="91440" tIns="45720" rIns="91440" bIns="45720" anchor="ctr"/>
        <a:p>
          <a:pPr algn="ctr">
            <a:defRPr/>
          </a:pPr>
          <a:r>
            <a:rPr lang="en-US" cap="none" sz="1050" b="1" i="0" u="none" baseline="0">
              <a:solidFill>
                <a:srgbClr val="FFFFFF"/>
              </a:solidFill>
            </a:rPr>
            <a:t>&lt; HOME</a:t>
          </a:r>
        </a:p>
      </xdr:txBody>
    </xdr:sp>
    <xdr:clientData/>
  </xdr:twoCellAnchor>
  <xdr:twoCellAnchor>
    <xdr:from>
      <xdr:col>4</xdr:col>
      <xdr:colOff>619125</xdr:colOff>
      <xdr:row>1</xdr:row>
      <xdr:rowOff>542925</xdr:rowOff>
    </xdr:from>
    <xdr:to>
      <xdr:col>6</xdr:col>
      <xdr:colOff>9525</xdr:colOff>
      <xdr:row>1</xdr:row>
      <xdr:rowOff>809625</xdr:rowOff>
    </xdr:to>
    <xdr:sp>
      <xdr:nvSpPr>
        <xdr:cNvPr id="5" name="Rectangle 9">
          <a:hlinkClick r:id="rId4"/>
        </xdr:cNvPr>
        <xdr:cNvSpPr>
          <a:spLocks/>
        </xdr:cNvSpPr>
      </xdr:nvSpPr>
      <xdr:spPr>
        <a:xfrm>
          <a:off x="7448550" y="733425"/>
          <a:ext cx="1504950" cy="266700"/>
        </a:xfrm>
        <a:prstGeom prst="rect">
          <a:avLst/>
        </a:prstGeom>
        <a:solidFill>
          <a:srgbClr val="E06C08"/>
        </a:solidFill>
        <a:ln w="9525" cmpd="sng">
          <a:noFill/>
        </a:ln>
      </xdr:spPr>
      <xdr:txBody>
        <a:bodyPr vertOverflow="clip" wrap="square" lIns="91440" tIns="45720" rIns="91440" bIns="45720" anchor="ctr"/>
        <a:p>
          <a:pPr algn="ctr">
            <a:defRPr/>
          </a:pPr>
          <a:r>
            <a:rPr lang="en-US" cap="none" sz="1050" b="1" i="0" u="none" baseline="0">
              <a:solidFill>
                <a:srgbClr val="FFFFFF"/>
              </a:solidFill>
            </a:rPr>
            <a:t>VIEW</a:t>
          </a:r>
          <a:r>
            <a:rPr lang="en-US" cap="none" sz="1050" b="1" i="0" u="none" baseline="0">
              <a:solidFill>
                <a:srgbClr val="FFFFFF"/>
              </a:solidFill>
            </a:rPr>
            <a:t> SUMMARY &gt;</a:t>
          </a:r>
        </a:p>
      </xdr:txBody>
    </xdr:sp>
    <xdr:clientData/>
  </xdr:twoCellAnchor>
  <xdr:twoCellAnchor>
    <xdr:from>
      <xdr:col>1</xdr:col>
      <xdr:colOff>0</xdr:colOff>
      <xdr:row>129</xdr:row>
      <xdr:rowOff>0</xdr:rowOff>
    </xdr:from>
    <xdr:to>
      <xdr:col>1</xdr:col>
      <xdr:colOff>781050</xdr:colOff>
      <xdr:row>129</xdr:row>
      <xdr:rowOff>266700</xdr:rowOff>
    </xdr:to>
    <xdr:sp>
      <xdr:nvSpPr>
        <xdr:cNvPr id="6" name="Rectangle 10">
          <a:hlinkClick r:id="rId5"/>
        </xdr:cNvPr>
        <xdr:cNvSpPr>
          <a:spLocks/>
        </xdr:cNvSpPr>
      </xdr:nvSpPr>
      <xdr:spPr>
        <a:xfrm>
          <a:off x="428625" y="19973925"/>
          <a:ext cx="781050" cy="266700"/>
        </a:xfrm>
        <a:prstGeom prst="rect">
          <a:avLst/>
        </a:prstGeom>
        <a:solidFill>
          <a:srgbClr val="E06C08"/>
        </a:solidFill>
        <a:ln w="9525" cmpd="sng">
          <a:noFill/>
        </a:ln>
      </xdr:spPr>
      <xdr:txBody>
        <a:bodyPr vertOverflow="clip" wrap="square" lIns="91440" tIns="45720" rIns="91440" bIns="45720" anchor="ctr"/>
        <a:p>
          <a:pPr algn="ctr">
            <a:defRPr/>
          </a:pPr>
          <a:r>
            <a:rPr lang="en-US" cap="none" sz="1050" b="1" i="0" u="none" baseline="0">
              <a:solidFill>
                <a:srgbClr val="FFFFFF"/>
              </a:solidFill>
            </a:rPr>
            <a:t>&lt; HOME</a:t>
          </a:r>
        </a:p>
      </xdr:txBody>
    </xdr:sp>
    <xdr:clientData/>
  </xdr:twoCellAnchor>
  <xdr:twoCellAnchor>
    <xdr:from>
      <xdr:col>1</xdr:col>
      <xdr:colOff>838200</xdr:colOff>
      <xdr:row>129</xdr:row>
      <xdr:rowOff>0</xdr:rowOff>
    </xdr:from>
    <xdr:to>
      <xdr:col>1</xdr:col>
      <xdr:colOff>2343150</xdr:colOff>
      <xdr:row>129</xdr:row>
      <xdr:rowOff>266700</xdr:rowOff>
    </xdr:to>
    <xdr:sp>
      <xdr:nvSpPr>
        <xdr:cNvPr id="7" name="Rectangle 11">
          <a:hlinkClick r:id="rId6"/>
        </xdr:cNvPr>
        <xdr:cNvSpPr>
          <a:spLocks/>
        </xdr:cNvSpPr>
      </xdr:nvSpPr>
      <xdr:spPr>
        <a:xfrm>
          <a:off x="1266825" y="19973925"/>
          <a:ext cx="1504950" cy="266700"/>
        </a:xfrm>
        <a:prstGeom prst="rect">
          <a:avLst/>
        </a:prstGeom>
        <a:solidFill>
          <a:srgbClr val="E06C08"/>
        </a:solidFill>
        <a:ln w="9525" cmpd="sng">
          <a:noFill/>
        </a:ln>
      </xdr:spPr>
      <xdr:txBody>
        <a:bodyPr vertOverflow="clip" wrap="square" lIns="91440" tIns="45720" rIns="91440" bIns="45720" anchor="ctr"/>
        <a:p>
          <a:pPr algn="ctr">
            <a:defRPr/>
          </a:pPr>
          <a:r>
            <a:rPr lang="en-US" cap="none" sz="1050" b="1" i="0" u="none" baseline="0">
              <a:solidFill>
                <a:srgbClr val="FFFFFF"/>
              </a:solidFill>
            </a:rPr>
            <a:t>VIEW</a:t>
          </a:r>
          <a:r>
            <a:rPr lang="en-US" cap="none" sz="1050" b="1" i="0" u="none" baseline="0">
              <a:solidFill>
                <a:srgbClr val="FFFFFF"/>
              </a:solidFill>
            </a:rPr>
            <a:t> SUMMARY &gt;</a:t>
          </a:r>
        </a:p>
      </xdr:txBody>
    </xdr:sp>
    <xdr:clientData/>
  </xdr:twoCellAnchor>
  <xdr:twoCellAnchor editAs="oneCell">
    <xdr:from>
      <xdr:col>1</xdr:col>
      <xdr:colOff>3343275</xdr:colOff>
      <xdr:row>1</xdr:row>
      <xdr:rowOff>0</xdr:rowOff>
    </xdr:from>
    <xdr:to>
      <xdr:col>2</xdr:col>
      <xdr:colOff>695325</xdr:colOff>
      <xdr:row>1</xdr:row>
      <xdr:rowOff>495300</xdr:rowOff>
    </xdr:to>
    <xdr:pic>
      <xdr:nvPicPr>
        <xdr:cNvPr id="8" name="Picture 1"/>
        <xdr:cNvPicPr preferRelativeResize="1">
          <a:picLocks noChangeAspect="1"/>
        </xdr:cNvPicPr>
      </xdr:nvPicPr>
      <xdr:blipFill>
        <a:blip r:embed="rId7"/>
        <a:stretch>
          <a:fillRect/>
        </a:stretch>
      </xdr:blipFill>
      <xdr:spPr>
        <a:xfrm>
          <a:off x="3771900" y="190500"/>
          <a:ext cx="1638300"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333375</xdr:colOff>
      <xdr:row>3</xdr:row>
      <xdr:rowOff>9525</xdr:rowOff>
    </xdr:from>
    <xdr:to>
      <xdr:col>5</xdr:col>
      <xdr:colOff>504825</xdr:colOff>
      <xdr:row>5</xdr:row>
      <xdr:rowOff>180975</xdr:rowOff>
    </xdr:to>
    <xdr:pic>
      <xdr:nvPicPr>
        <xdr:cNvPr id="1" name="Picture 1" descr="SmartSamm_Hor_RGB_POS_strap.jpg" hidden="1"/>
        <xdr:cNvPicPr preferRelativeResize="1">
          <a:picLocks noChangeAspect="1"/>
        </xdr:cNvPicPr>
      </xdr:nvPicPr>
      <xdr:blipFill>
        <a:blip r:embed="rId1"/>
        <a:srcRect l="2639" t="10935" r="3936" b="12066"/>
        <a:stretch>
          <a:fillRect/>
        </a:stretch>
      </xdr:blipFill>
      <xdr:spPr>
        <a:xfrm>
          <a:off x="6105525" y="1400175"/>
          <a:ext cx="2286000" cy="571500"/>
        </a:xfrm>
        <a:prstGeom prst="rect">
          <a:avLst/>
        </a:prstGeom>
        <a:noFill/>
        <a:ln w="9525" cmpd="sng">
          <a:noFill/>
        </a:ln>
      </xdr:spPr>
    </xdr:pic>
    <xdr:clientData/>
  </xdr:twoCellAnchor>
  <xdr:twoCellAnchor editAs="oneCell">
    <xdr:from>
      <xdr:col>0</xdr:col>
      <xdr:colOff>400050</xdr:colOff>
      <xdr:row>0</xdr:row>
      <xdr:rowOff>123825</xdr:rowOff>
    </xdr:from>
    <xdr:to>
      <xdr:col>1</xdr:col>
      <xdr:colOff>2409825</xdr:colOff>
      <xdr:row>1</xdr:row>
      <xdr:rowOff>542925</xdr:rowOff>
    </xdr:to>
    <xdr:pic>
      <xdr:nvPicPr>
        <xdr:cNvPr id="2" name="Picture 3" descr="SmartSAMMStrapline.jpg"/>
        <xdr:cNvPicPr preferRelativeResize="1">
          <a:picLocks noChangeAspect="1"/>
        </xdr:cNvPicPr>
      </xdr:nvPicPr>
      <xdr:blipFill>
        <a:blip r:embed="rId2"/>
        <a:stretch>
          <a:fillRect/>
        </a:stretch>
      </xdr:blipFill>
      <xdr:spPr>
        <a:xfrm>
          <a:off x="400050" y="123825"/>
          <a:ext cx="2438400" cy="609600"/>
        </a:xfrm>
        <a:prstGeom prst="rect">
          <a:avLst/>
        </a:prstGeom>
        <a:noFill/>
        <a:ln w="9525" cmpd="sng">
          <a:noFill/>
        </a:ln>
      </xdr:spPr>
    </xdr:pic>
    <xdr:clientData/>
  </xdr:twoCellAnchor>
  <xdr:twoCellAnchor>
    <xdr:from>
      <xdr:col>3</xdr:col>
      <xdr:colOff>809625</xdr:colOff>
      <xdr:row>1</xdr:row>
      <xdr:rowOff>0</xdr:rowOff>
    </xdr:from>
    <xdr:to>
      <xdr:col>6</xdr:col>
      <xdr:colOff>0</xdr:colOff>
      <xdr:row>1</xdr:row>
      <xdr:rowOff>504825</xdr:rowOff>
    </xdr:to>
    <xdr:sp>
      <xdr:nvSpPr>
        <xdr:cNvPr id="3" name="Rectangle 6"/>
        <xdr:cNvSpPr>
          <a:spLocks/>
        </xdr:cNvSpPr>
      </xdr:nvSpPr>
      <xdr:spPr>
        <a:xfrm>
          <a:off x="6581775" y="190500"/>
          <a:ext cx="2362200" cy="504825"/>
        </a:xfrm>
        <a:prstGeom prst="rect">
          <a:avLst/>
        </a:prstGeom>
        <a:solidFill>
          <a:srgbClr val="E06C08"/>
        </a:solidFill>
        <a:ln w="9525" cmpd="sng">
          <a:noFill/>
        </a:ln>
      </xdr:spPr>
      <xdr:txBody>
        <a:bodyPr vertOverflow="clip" wrap="square" lIns="91440" tIns="45720" rIns="91440" bIns="45720" anchor="ctr"/>
        <a:p>
          <a:pPr algn="ctr">
            <a:defRPr/>
          </a:pPr>
          <a:r>
            <a:rPr lang="en-US" cap="none" sz="1800" b="1" i="0" u="none" baseline="0">
              <a:solidFill>
                <a:srgbClr val="FFFFFF"/>
              </a:solidFill>
            </a:rPr>
            <a:t>Advanced</a:t>
          </a:r>
        </a:p>
      </xdr:txBody>
    </xdr:sp>
    <xdr:clientData/>
  </xdr:twoCellAnchor>
  <xdr:twoCellAnchor>
    <xdr:from>
      <xdr:col>3</xdr:col>
      <xdr:colOff>828675</xdr:colOff>
      <xdr:row>1</xdr:row>
      <xdr:rowOff>571500</xdr:rowOff>
    </xdr:from>
    <xdr:to>
      <xdr:col>4</xdr:col>
      <xdr:colOff>552450</xdr:colOff>
      <xdr:row>1</xdr:row>
      <xdr:rowOff>838200</xdr:rowOff>
    </xdr:to>
    <xdr:sp>
      <xdr:nvSpPr>
        <xdr:cNvPr id="4" name="Rectangle 8">
          <a:hlinkClick r:id="rId3"/>
        </xdr:cNvPr>
        <xdr:cNvSpPr>
          <a:spLocks/>
        </xdr:cNvSpPr>
      </xdr:nvSpPr>
      <xdr:spPr>
        <a:xfrm>
          <a:off x="6600825" y="762000"/>
          <a:ext cx="781050" cy="266700"/>
        </a:xfrm>
        <a:prstGeom prst="rect">
          <a:avLst/>
        </a:prstGeom>
        <a:solidFill>
          <a:srgbClr val="E06C08"/>
        </a:solidFill>
        <a:ln w="9525" cmpd="sng">
          <a:noFill/>
        </a:ln>
      </xdr:spPr>
      <xdr:txBody>
        <a:bodyPr vertOverflow="clip" wrap="square" lIns="91440" tIns="45720" rIns="91440" bIns="45720" anchor="ctr"/>
        <a:p>
          <a:pPr algn="ctr">
            <a:defRPr/>
          </a:pPr>
          <a:r>
            <a:rPr lang="en-US" cap="none" sz="1050" b="1" i="0" u="none" baseline="0">
              <a:solidFill>
                <a:srgbClr val="FFFFFF"/>
              </a:solidFill>
            </a:rPr>
            <a:t>&lt; HOME</a:t>
          </a:r>
        </a:p>
      </xdr:txBody>
    </xdr:sp>
    <xdr:clientData/>
  </xdr:twoCellAnchor>
  <xdr:twoCellAnchor>
    <xdr:from>
      <xdr:col>4</xdr:col>
      <xdr:colOff>609600</xdr:colOff>
      <xdr:row>1</xdr:row>
      <xdr:rowOff>571500</xdr:rowOff>
    </xdr:from>
    <xdr:to>
      <xdr:col>5</xdr:col>
      <xdr:colOff>1057275</xdr:colOff>
      <xdr:row>1</xdr:row>
      <xdr:rowOff>838200</xdr:rowOff>
    </xdr:to>
    <xdr:sp>
      <xdr:nvSpPr>
        <xdr:cNvPr id="5" name="Rectangle 9">
          <a:hlinkClick r:id="rId4"/>
        </xdr:cNvPr>
        <xdr:cNvSpPr>
          <a:spLocks/>
        </xdr:cNvSpPr>
      </xdr:nvSpPr>
      <xdr:spPr>
        <a:xfrm>
          <a:off x="7439025" y="762000"/>
          <a:ext cx="1504950" cy="266700"/>
        </a:xfrm>
        <a:prstGeom prst="rect">
          <a:avLst/>
        </a:prstGeom>
        <a:solidFill>
          <a:srgbClr val="E06C08"/>
        </a:solidFill>
        <a:ln w="9525" cmpd="sng">
          <a:noFill/>
        </a:ln>
      </xdr:spPr>
      <xdr:txBody>
        <a:bodyPr vertOverflow="clip" wrap="square" lIns="91440" tIns="45720" rIns="91440" bIns="45720" anchor="ctr"/>
        <a:p>
          <a:pPr algn="ctr">
            <a:defRPr/>
          </a:pPr>
          <a:r>
            <a:rPr lang="en-US" cap="none" sz="1050" b="1" i="0" u="none" baseline="0">
              <a:solidFill>
                <a:srgbClr val="FFFFFF"/>
              </a:solidFill>
            </a:rPr>
            <a:t>VIEW</a:t>
          </a:r>
          <a:r>
            <a:rPr lang="en-US" cap="none" sz="1050" b="1" i="0" u="none" baseline="0">
              <a:solidFill>
                <a:srgbClr val="FFFFFF"/>
              </a:solidFill>
            </a:rPr>
            <a:t> SUMMARY &gt;</a:t>
          </a:r>
        </a:p>
      </xdr:txBody>
    </xdr:sp>
    <xdr:clientData/>
  </xdr:twoCellAnchor>
  <xdr:twoCellAnchor>
    <xdr:from>
      <xdr:col>1</xdr:col>
      <xdr:colOff>9525</xdr:colOff>
      <xdr:row>167</xdr:row>
      <xdr:rowOff>266700</xdr:rowOff>
    </xdr:from>
    <xdr:to>
      <xdr:col>1</xdr:col>
      <xdr:colOff>790575</xdr:colOff>
      <xdr:row>168</xdr:row>
      <xdr:rowOff>247650</xdr:rowOff>
    </xdr:to>
    <xdr:sp>
      <xdr:nvSpPr>
        <xdr:cNvPr id="6" name="Rectangle 11">
          <a:hlinkClick r:id="rId5"/>
        </xdr:cNvPr>
        <xdr:cNvSpPr>
          <a:spLocks/>
        </xdr:cNvSpPr>
      </xdr:nvSpPr>
      <xdr:spPr>
        <a:xfrm>
          <a:off x="438150" y="29765625"/>
          <a:ext cx="781050" cy="266700"/>
        </a:xfrm>
        <a:prstGeom prst="rect">
          <a:avLst/>
        </a:prstGeom>
        <a:solidFill>
          <a:srgbClr val="E06C08"/>
        </a:solidFill>
        <a:ln w="9525" cmpd="sng">
          <a:noFill/>
        </a:ln>
      </xdr:spPr>
      <xdr:txBody>
        <a:bodyPr vertOverflow="clip" wrap="square" lIns="91440" tIns="45720" rIns="91440" bIns="45720" anchor="ctr"/>
        <a:p>
          <a:pPr algn="ctr">
            <a:defRPr/>
          </a:pPr>
          <a:r>
            <a:rPr lang="en-US" cap="none" sz="1050" b="1" i="0" u="none" baseline="0">
              <a:solidFill>
                <a:srgbClr val="FFFFFF"/>
              </a:solidFill>
            </a:rPr>
            <a:t>&lt; HOME</a:t>
          </a:r>
        </a:p>
      </xdr:txBody>
    </xdr:sp>
    <xdr:clientData/>
  </xdr:twoCellAnchor>
  <xdr:twoCellAnchor>
    <xdr:from>
      <xdr:col>1</xdr:col>
      <xdr:colOff>847725</xdr:colOff>
      <xdr:row>167</xdr:row>
      <xdr:rowOff>266700</xdr:rowOff>
    </xdr:from>
    <xdr:to>
      <xdr:col>1</xdr:col>
      <xdr:colOff>2352675</xdr:colOff>
      <xdr:row>168</xdr:row>
      <xdr:rowOff>247650</xdr:rowOff>
    </xdr:to>
    <xdr:sp>
      <xdr:nvSpPr>
        <xdr:cNvPr id="7" name="Rectangle 12">
          <a:hlinkClick r:id="rId6"/>
        </xdr:cNvPr>
        <xdr:cNvSpPr>
          <a:spLocks/>
        </xdr:cNvSpPr>
      </xdr:nvSpPr>
      <xdr:spPr>
        <a:xfrm>
          <a:off x="1276350" y="29765625"/>
          <a:ext cx="1504950" cy="266700"/>
        </a:xfrm>
        <a:prstGeom prst="rect">
          <a:avLst/>
        </a:prstGeom>
        <a:solidFill>
          <a:srgbClr val="E06C08"/>
        </a:solidFill>
        <a:ln w="9525" cmpd="sng">
          <a:noFill/>
        </a:ln>
      </xdr:spPr>
      <xdr:txBody>
        <a:bodyPr vertOverflow="clip" wrap="square" lIns="91440" tIns="45720" rIns="91440" bIns="45720" anchor="ctr"/>
        <a:p>
          <a:pPr algn="ctr">
            <a:defRPr/>
          </a:pPr>
          <a:r>
            <a:rPr lang="en-US" cap="none" sz="1050" b="1" i="0" u="none" baseline="0">
              <a:solidFill>
                <a:srgbClr val="FFFFFF"/>
              </a:solidFill>
            </a:rPr>
            <a:t>VIEW</a:t>
          </a:r>
          <a:r>
            <a:rPr lang="en-US" cap="none" sz="1050" b="1" i="0" u="none" baseline="0">
              <a:solidFill>
                <a:srgbClr val="FFFFFF"/>
              </a:solidFill>
            </a:rPr>
            <a:t> SUMMARY &gt;</a:t>
          </a:r>
        </a:p>
      </xdr:txBody>
    </xdr:sp>
    <xdr:clientData/>
  </xdr:twoCellAnchor>
  <xdr:twoCellAnchor editAs="oneCell">
    <xdr:from>
      <xdr:col>3</xdr:col>
      <xdr:colOff>333375</xdr:colOff>
      <xdr:row>3</xdr:row>
      <xdr:rowOff>9525</xdr:rowOff>
    </xdr:from>
    <xdr:to>
      <xdr:col>5</xdr:col>
      <xdr:colOff>504825</xdr:colOff>
      <xdr:row>5</xdr:row>
      <xdr:rowOff>180975</xdr:rowOff>
    </xdr:to>
    <xdr:pic>
      <xdr:nvPicPr>
        <xdr:cNvPr id="8" name="Picture 1" descr="SmartSamm_Hor_RGB_POS_strap.jpg" hidden="1"/>
        <xdr:cNvPicPr preferRelativeResize="1">
          <a:picLocks noChangeAspect="1"/>
        </xdr:cNvPicPr>
      </xdr:nvPicPr>
      <xdr:blipFill>
        <a:blip r:embed="rId1"/>
        <a:srcRect l="2639" t="10935" r="3936" b="12066"/>
        <a:stretch>
          <a:fillRect/>
        </a:stretch>
      </xdr:blipFill>
      <xdr:spPr>
        <a:xfrm>
          <a:off x="6105525" y="1400175"/>
          <a:ext cx="2286000" cy="571500"/>
        </a:xfrm>
        <a:prstGeom prst="rect">
          <a:avLst/>
        </a:prstGeom>
        <a:noFill/>
        <a:ln w="9525" cmpd="sng">
          <a:noFill/>
        </a:ln>
      </xdr:spPr>
    </xdr:pic>
    <xdr:clientData/>
  </xdr:twoCellAnchor>
  <xdr:twoCellAnchor editAs="oneCell">
    <xdr:from>
      <xdr:col>1</xdr:col>
      <xdr:colOff>3333750</xdr:colOff>
      <xdr:row>0</xdr:row>
      <xdr:rowOff>190500</xdr:rowOff>
    </xdr:from>
    <xdr:to>
      <xdr:col>2</xdr:col>
      <xdr:colOff>695325</xdr:colOff>
      <xdr:row>1</xdr:row>
      <xdr:rowOff>495300</xdr:rowOff>
    </xdr:to>
    <xdr:pic>
      <xdr:nvPicPr>
        <xdr:cNvPr id="9" name="Picture 1"/>
        <xdr:cNvPicPr preferRelativeResize="1">
          <a:picLocks noChangeAspect="1"/>
        </xdr:cNvPicPr>
      </xdr:nvPicPr>
      <xdr:blipFill>
        <a:blip r:embed="rId7"/>
        <a:stretch>
          <a:fillRect/>
        </a:stretch>
      </xdr:blipFill>
      <xdr:spPr>
        <a:xfrm>
          <a:off x="3762375" y="190500"/>
          <a:ext cx="1647825"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15</xdr:row>
      <xdr:rowOff>104775</xdr:rowOff>
    </xdr:from>
    <xdr:to>
      <xdr:col>4</xdr:col>
      <xdr:colOff>1019175</xdr:colOff>
      <xdr:row>36</xdr:row>
      <xdr:rowOff>152400</xdr:rowOff>
    </xdr:to>
    <xdr:graphicFrame>
      <xdr:nvGraphicFramePr>
        <xdr:cNvPr id="1" name="Chart 4"/>
        <xdr:cNvGraphicFramePr/>
      </xdr:nvGraphicFramePr>
      <xdr:xfrm>
        <a:off x="781050" y="6029325"/>
        <a:ext cx="5610225" cy="4048125"/>
      </xdr:xfrm>
      <a:graphic>
        <a:graphicData uri="http://schemas.openxmlformats.org/drawingml/2006/chart">
          <c:chart xmlns:c="http://schemas.openxmlformats.org/drawingml/2006/chart" r:id="rId1"/>
        </a:graphicData>
      </a:graphic>
    </xdr:graphicFrame>
    <xdr:clientData/>
  </xdr:twoCellAnchor>
  <xdr:twoCellAnchor editAs="oneCell">
    <xdr:from>
      <xdr:col>3</xdr:col>
      <xdr:colOff>285750</xdr:colOff>
      <xdr:row>38</xdr:row>
      <xdr:rowOff>123825</xdr:rowOff>
    </xdr:from>
    <xdr:to>
      <xdr:col>4</xdr:col>
      <xdr:colOff>1076325</xdr:colOff>
      <xdr:row>41</xdr:row>
      <xdr:rowOff>114300</xdr:rowOff>
    </xdr:to>
    <xdr:pic>
      <xdr:nvPicPr>
        <xdr:cNvPr id="2" name="Picture 3" descr="SmartSAMMStrapline.jpg"/>
        <xdr:cNvPicPr preferRelativeResize="1">
          <a:picLocks noChangeAspect="1"/>
        </xdr:cNvPicPr>
      </xdr:nvPicPr>
      <xdr:blipFill>
        <a:blip r:embed="rId2"/>
        <a:stretch>
          <a:fillRect/>
        </a:stretch>
      </xdr:blipFill>
      <xdr:spPr>
        <a:xfrm>
          <a:off x="4181475" y="10429875"/>
          <a:ext cx="2266950" cy="561975"/>
        </a:xfrm>
        <a:prstGeom prst="rect">
          <a:avLst/>
        </a:prstGeom>
        <a:noFill/>
        <a:ln w="9525" cmpd="sng">
          <a:noFill/>
        </a:ln>
      </xdr:spPr>
    </xdr:pic>
    <xdr:clientData/>
  </xdr:twoCellAnchor>
  <xdr:twoCellAnchor>
    <xdr:from>
      <xdr:col>0</xdr:col>
      <xdr:colOff>333375</xdr:colOff>
      <xdr:row>42</xdr:row>
      <xdr:rowOff>171450</xdr:rowOff>
    </xdr:from>
    <xdr:to>
      <xdr:col>2</xdr:col>
      <xdr:colOff>809625</xdr:colOff>
      <xdr:row>44</xdr:row>
      <xdr:rowOff>57150</xdr:rowOff>
    </xdr:to>
    <xdr:sp>
      <xdr:nvSpPr>
        <xdr:cNvPr id="3" name="Rectangle 6">
          <a:hlinkClick r:id="rId3"/>
        </xdr:cNvPr>
        <xdr:cNvSpPr>
          <a:spLocks/>
        </xdr:cNvSpPr>
      </xdr:nvSpPr>
      <xdr:spPr>
        <a:xfrm>
          <a:off x="333375" y="11239500"/>
          <a:ext cx="2790825" cy="266700"/>
        </a:xfrm>
        <a:prstGeom prst="rect">
          <a:avLst/>
        </a:prstGeom>
        <a:solidFill>
          <a:srgbClr val="E06C08"/>
        </a:solidFill>
        <a:ln w="9525" cmpd="sng">
          <a:noFill/>
        </a:ln>
      </xdr:spPr>
      <xdr:txBody>
        <a:bodyPr vertOverflow="clip" wrap="square" lIns="91440" tIns="45720" rIns="91440" bIns="45720" anchor="ctr"/>
        <a:p>
          <a:pPr algn="ctr">
            <a:defRPr/>
          </a:pPr>
          <a:r>
            <a:rPr lang="en-US" cap="none" sz="1050" b="1" i="0" u="none" baseline="0">
              <a:solidFill>
                <a:srgbClr val="FFFFFF"/>
              </a:solidFill>
            </a:rPr>
            <a:t>&lt;  BACK</a:t>
          </a:r>
          <a:r>
            <a:rPr lang="en-US" cap="none" sz="1050" b="1" i="0" u="none" baseline="0">
              <a:solidFill>
                <a:srgbClr val="FFFFFF"/>
              </a:solidFill>
            </a:rPr>
            <a:t> TO BASIC DATA INPUT PAGE</a:t>
          </a:r>
        </a:p>
      </xdr:txBody>
    </xdr:sp>
    <xdr:clientData/>
  </xdr:twoCellAnchor>
  <xdr:twoCellAnchor editAs="oneCell">
    <xdr:from>
      <xdr:col>0</xdr:col>
      <xdr:colOff>342900</xdr:colOff>
      <xdr:row>38</xdr:row>
      <xdr:rowOff>190500</xdr:rowOff>
    </xdr:from>
    <xdr:to>
      <xdr:col>1</xdr:col>
      <xdr:colOff>1647825</xdr:colOff>
      <xdr:row>41</xdr:row>
      <xdr:rowOff>123825</xdr:rowOff>
    </xdr:to>
    <xdr:pic>
      <xdr:nvPicPr>
        <xdr:cNvPr id="4" name="Picture 1"/>
        <xdr:cNvPicPr preferRelativeResize="1">
          <a:picLocks noChangeAspect="1"/>
        </xdr:cNvPicPr>
      </xdr:nvPicPr>
      <xdr:blipFill>
        <a:blip r:embed="rId4"/>
        <a:stretch>
          <a:fillRect/>
        </a:stretch>
      </xdr:blipFill>
      <xdr:spPr>
        <a:xfrm>
          <a:off x="342900" y="10496550"/>
          <a:ext cx="1647825" cy="504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15</xdr:row>
      <xdr:rowOff>104775</xdr:rowOff>
    </xdr:from>
    <xdr:to>
      <xdr:col>4</xdr:col>
      <xdr:colOff>1019175</xdr:colOff>
      <xdr:row>36</xdr:row>
      <xdr:rowOff>152400</xdr:rowOff>
    </xdr:to>
    <xdr:graphicFrame>
      <xdr:nvGraphicFramePr>
        <xdr:cNvPr id="1" name="Chart 4"/>
        <xdr:cNvGraphicFramePr/>
      </xdr:nvGraphicFramePr>
      <xdr:xfrm>
        <a:off x="781050" y="6029325"/>
        <a:ext cx="5610225" cy="4048125"/>
      </xdr:xfrm>
      <a:graphic>
        <a:graphicData uri="http://schemas.openxmlformats.org/drawingml/2006/chart">
          <c:chart xmlns:c="http://schemas.openxmlformats.org/drawingml/2006/chart" r:id="rId1"/>
        </a:graphicData>
      </a:graphic>
    </xdr:graphicFrame>
    <xdr:clientData/>
  </xdr:twoCellAnchor>
  <xdr:twoCellAnchor editAs="oneCell">
    <xdr:from>
      <xdr:col>3</xdr:col>
      <xdr:colOff>285750</xdr:colOff>
      <xdr:row>38</xdr:row>
      <xdr:rowOff>123825</xdr:rowOff>
    </xdr:from>
    <xdr:to>
      <xdr:col>4</xdr:col>
      <xdr:colOff>1076325</xdr:colOff>
      <xdr:row>41</xdr:row>
      <xdr:rowOff>114300</xdr:rowOff>
    </xdr:to>
    <xdr:pic>
      <xdr:nvPicPr>
        <xdr:cNvPr id="2" name="Picture 3" descr="SmartSAMMStrapline.jpg"/>
        <xdr:cNvPicPr preferRelativeResize="1">
          <a:picLocks noChangeAspect="1"/>
        </xdr:cNvPicPr>
      </xdr:nvPicPr>
      <xdr:blipFill>
        <a:blip r:embed="rId2"/>
        <a:stretch>
          <a:fillRect/>
        </a:stretch>
      </xdr:blipFill>
      <xdr:spPr>
        <a:xfrm>
          <a:off x="4181475" y="10429875"/>
          <a:ext cx="2266950" cy="561975"/>
        </a:xfrm>
        <a:prstGeom prst="rect">
          <a:avLst/>
        </a:prstGeom>
        <a:noFill/>
        <a:ln w="9525" cmpd="sng">
          <a:noFill/>
        </a:ln>
      </xdr:spPr>
    </xdr:pic>
    <xdr:clientData/>
  </xdr:twoCellAnchor>
  <xdr:twoCellAnchor>
    <xdr:from>
      <xdr:col>1</xdr:col>
      <xdr:colOff>0</xdr:colOff>
      <xdr:row>44</xdr:row>
      <xdr:rowOff>0</xdr:rowOff>
    </xdr:from>
    <xdr:to>
      <xdr:col>2</xdr:col>
      <xdr:colOff>1447800</xdr:colOff>
      <xdr:row>45</xdr:row>
      <xdr:rowOff>76200</xdr:rowOff>
    </xdr:to>
    <xdr:sp>
      <xdr:nvSpPr>
        <xdr:cNvPr id="3" name="Rectangle 4">
          <a:hlinkClick r:id="rId3"/>
        </xdr:cNvPr>
        <xdr:cNvSpPr>
          <a:spLocks/>
        </xdr:cNvSpPr>
      </xdr:nvSpPr>
      <xdr:spPr>
        <a:xfrm>
          <a:off x="342900" y="11449050"/>
          <a:ext cx="3419475" cy="266700"/>
        </a:xfrm>
        <a:prstGeom prst="rect">
          <a:avLst/>
        </a:prstGeom>
        <a:solidFill>
          <a:srgbClr val="E06C08"/>
        </a:solidFill>
        <a:ln w="9525" cmpd="sng">
          <a:noFill/>
        </a:ln>
      </xdr:spPr>
      <xdr:txBody>
        <a:bodyPr vertOverflow="clip" wrap="square" lIns="91440" tIns="45720" rIns="91440" bIns="45720" anchor="ctr"/>
        <a:p>
          <a:pPr algn="ctr">
            <a:defRPr/>
          </a:pPr>
          <a:r>
            <a:rPr lang="en-US" cap="none" sz="1050" b="1" i="0" u="none" baseline="0">
              <a:solidFill>
                <a:srgbClr val="FFFFFF"/>
              </a:solidFill>
            </a:rPr>
            <a:t>&lt;  BACK</a:t>
          </a:r>
          <a:r>
            <a:rPr lang="en-US" cap="none" sz="1050" b="1" i="0" u="none" baseline="0">
              <a:solidFill>
                <a:srgbClr val="FFFFFF"/>
              </a:solidFill>
            </a:rPr>
            <a:t> TO INTERMEDIATE  DATA INPUT PAGE</a:t>
          </a:r>
        </a:p>
      </xdr:txBody>
    </xdr:sp>
    <xdr:clientData/>
  </xdr:twoCellAnchor>
  <xdr:twoCellAnchor editAs="oneCell">
    <xdr:from>
      <xdr:col>1</xdr:col>
      <xdr:colOff>0</xdr:colOff>
      <xdr:row>38</xdr:row>
      <xdr:rowOff>190500</xdr:rowOff>
    </xdr:from>
    <xdr:to>
      <xdr:col>1</xdr:col>
      <xdr:colOff>1762125</xdr:colOff>
      <xdr:row>41</xdr:row>
      <xdr:rowOff>152400</xdr:rowOff>
    </xdr:to>
    <xdr:pic>
      <xdr:nvPicPr>
        <xdr:cNvPr id="4" name="Picture 1"/>
        <xdr:cNvPicPr preferRelativeResize="1">
          <a:picLocks noChangeAspect="1"/>
        </xdr:cNvPicPr>
      </xdr:nvPicPr>
      <xdr:blipFill>
        <a:blip r:embed="rId4"/>
        <a:stretch>
          <a:fillRect/>
        </a:stretch>
      </xdr:blipFill>
      <xdr:spPr>
        <a:xfrm>
          <a:off x="342900" y="10496550"/>
          <a:ext cx="1762125" cy="533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15</xdr:row>
      <xdr:rowOff>104775</xdr:rowOff>
    </xdr:from>
    <xdr:to>
      <xdr:col>4</xdr:col>
      <xdr:colOff>1019175</xdr:colOff>
      <xdr:row>36</xdr:row>
      <xdr:rowOff>152400</xdr:rowOff>
    </xdr:to>
    <xdr:graphicFrame>
      <xdr:nvGraphicFramePr>
        <xdr:cNvPr id="1" name="Chart 4"/>
        <xdr:cNvGraphicFramePr/>
      </xdr:nvGraphicFramePr>
      <xdr:xfrm>
        <a:off x="781050" y="6029325"/>
        <a:ext cx="5610225" cy="4048125"/>
      </xdr:xfrm>
      <a:graphic>
        <a:graphicData uri="http://schemas.openxmlformats.org/drawingml/2006/chart">
          <c:chart xmlns:c="http://schemas.openxmlformats.org/drawingml/2006/chart" r:id="rId1"/>
        </a:graphicData>
      </a:graphic>
    </xdr:graphicFrame>
    <xdr:clientData/>
  </xdr:twoCellAnchor>
  <xdr:twoCellAnchor editAs="oneCell">
    <xdr:from>
      <xdr:col>3</xdr:col>
      <xdr:colOff>285750</xdr:colOff>
      <xdr:row>38</xdr:row>
      <xdr:rowOff>123825</xdr:rowOff>
    </xdr:from>
    <xdr:to>
      <xdr:col>4</xdr:col>
      <xdr:colOff>1076325</xdr:colOff>
      <xdr:row>41</xdr:row>
      <xdr:rowOff>114300</xdr:rowOff>
    </xdr:to>
    <xdr:pic>
      <xdr:nvPicPr>
        <xdr:cNvPr id="2" name="Picture 3" descr="SmartSAMMStrapline.jpg"/>
        <xdr:cNvPicPr preferRelativeResize="1">
          <a:picLocks noChangeAspect="1"/>
        </xdr:cNvPicPr>
      </xdr:nvPicPr>
      <xdr:blipFill>
        <a:blip r:embed="rId2"/>
        <a:stretch>
          <a:fillRect/>
        </a:stretch>
      </xdr:blipFill>
      <xdr:spPr>
        <a:xfrm>
          <a:off x="4181475" y="10429875"/>
          <a:ext cx="2266950" cy="561975"/>
        </a:xfrm>
        <a:prstGeom prst="rect">
          <a:avLst/>
        </a:prstGeom>
        <a:noFill/>
        <a:ln w="9525" cmpd="sng">
          <a:noFill/>
        </a:ln>
      </xdr:spPr>
    </xdr:pic>
    <xdr:clientData/>
  </xdr:twoCellAnchor>
  <xdr:twoCellAnchor>
    <xdr:from>
      <xdr:col>0</xdr:col>
      <xdr:colOff>333375</xdr:colOff>
      <xdr:row>44</xdr:row>
      <xdr:rowOff>57150</xdr:rowOff>
    </xdr:from>
    <xdr:to>
      <xdr:col>2</xdr:col>
      <xdr:colOff>1438275</xdr:colOff>
      <xdr:row>45</xdr:row>
      <xdr:rowOff>133350</xdr:rowOff>
    </xdr:to>
    <xdr:sp>
      <xdr:nvSpPr>
        <xdr:cNvPr id="3" name="Rectangle 4">
          <a:hlinkClick r:id="rId3"/>
        </xdr:cNvPr>
        <xdr:cNvSpPr>
          <a:spLocks/>
        </xdr:cNvSpPr>
      </xdr:nvSpPr>
      <xdr:spPr>
        <a:xfrm>
          <a:off x="333375" y="11506200"/>
          <a:ext cx="3419475" cy="266700"/>
        </a:xfrm>
        <a:prstGeom prst="rect">
          <a:avLst/>
        </a:prstGeom>
        <a:solidFill>
          <a:srgbClr val="E06C08"/>
        </a:solidFill>
        <a:ln w="9525" cmpd="sng">
          <a:noFill/>
        </a:ln>
      </xdr:spPr>
      <xdr:txBody>
        <a:bodyPr vertOverflow="clip" wrap="square" lIns="91440" tIns="45720" rIns="91440" bIns="45720" anchor="ctr"/>
        <a:p>
          <a:pPr algn="ctr">
            <a:defRPr/>
          </a:pPr>
          <a:r>
            <a:rPr lang="en-US" cap="none" sz="1050" b="1" i="0" u="none" baseline="0">
              <a:solidFill>
                <a:srgbClr val="FFFFFF"/>
              </a:solidFill>
            </a:rPr>
            <a:t>&lt;  BACK</a:t>
          </a:r>
          <a:r>
            <a:rPr lang="en-US" cap="none" sz="1050" b="1" i="0" u="none" baseline="0">
              <a:solidFill>
                <a:srgbClr val="FFFFFF"/>
              </a:solidFill>
            </a:rPr>
            <a:t> TO ADVANCED DATA INPUT PAGE</a:t>
          </a:r>
        </a:p>
      </xdr:txBody>
    </xdr:sp>
    <xdr:clientData/>
  </xdr:twoCellAnchor>
  <xdr:twoCellAnchor editAs="oneCell">
    <xdr:from>
      <xdr:col>1</xdr:col>
      <xdr:colOff>0</xdr:colOff>
      <xdr:row>39</xdr:row>
      <xdr:rowOff>0</xdr:rowOff>
    </xdr:from>
    <xdr:to>
      <xdr:col>1</xdr:col>
      <xdr:colOff>1743075</xdr:colOff>
      <xdr:row>41</xdr:row>
      <xdr:rowOff>142875</xdr:rowOff>
    </xdr:to>
    <xdr:pic>
      <xdr:nvPicPr>
        <xdr:cNvPr id="4" name="Picture 1"/>
        <xdr:cNvPicPr preferRelativeResize="1">
          <a:picLocks noChangeAspect="1"/>
        </xdr:cNvPicPr>
      </xdr:nvPicPr>
      <xdr:blipFill>
        <a:blip r:embed="rId4"/>
        <a:stretch>
          <a:fillRect/>
        </a:stretch>
      </xdr:blipFill>
      <xdr:spPr>
        <a:xfrm>
          <a:off x="342900" y="10496550"/>
          <a:ext cx="174307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AD72"/>
  <sheetViews>
    <sheetView showGridLines="0" showRowColHeaders="0" tabSelected="1" zoomScalePageLayoutView="0" workbookViewId="0" topLeftCell="A1">
      <selection activeCell="A1" sqref="A1"/>
    </sheetView>
  </sheetViews>
  <sheetFormatPr defaultColWidth="8.8515625" defaultRowHeight="15"/>
  <cols>
    <col min="1" max="1" width="8.8515625" style="0" customWidth="1"/>
    <col min="2" max="2" width="20.28125" style="0" customWidth="1"/>
    <col min="3" max="3" width="6.00390625" style="0" customWidth="1"/>
    <col min="4" max="4" width="8.8515625" style="0" customWidth="1"/>
    <col min="5" max="5" width="12.140625" style="0" customWidth="1"/>
    <col min="6" max="10" width="8.8515625" style="0" customWidth="1"/>
    <col min="11" max="11" width="12.28125" style="0" customWidth="1"/>
  </cols>
  <sheetData>
    <row r="1" s="55" customFormat="1" ht="15"/>
    <row r="2" spans="2:30" s="57" customFormat="1" ht="101.25" customHeight="1">
      <c r="B2" s="267" t="s">
        <v>289</v>
      </c>
      <c r="C2" s="267"/>
      <c r="D2" s="249" t="s">
        <v>288</v>
      </c>
      <c r="E2" s="56"/>
      <c r="F2" s="56"/>
      <c r="G2" s="56"/>
      <c r="H2" s="56"/>
      <c r="I2" s="56"/>
      <c r="J2" s="56"/>
      <c r="K2" s="56"/>
      <c r="L2" s="56"/>
      <c r="M2" s="56"/>
      <c r="N2" s="56"/>
      <c r="O2" s="56"/>
      <c r="P2" s="56"/>
      <c r="Q2" s="56"/>
      <c r="R2" s="56"/>
      <c r="S2" s="56"/>
      <c r="T2" s="56"/>
      <c r="U2" s="56"/>
      <c r="V2" s="56"/>
      <c r="W2" s="56"/>
      <c r="X2" s="56"/>
      <c r="Y2" s="56"/>
      <c r="Z2" s="56"/>
      <c r="AA2" s="56"/>
      <c r="AB2" s="56"/>
      <c r="AC2" s="56"/>
      <c r="AD2" s="56"/>
    </row>
    <row r="3" spans="1:30" s="57" customFormat="1" ht="13.5" customHeight="1">
      <c r="A3" s="207"/>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row>
    <row r="4" spans="1:30" s="57" customFormat="1" ht="22.5" customHeight="1">
      <c r="A4" s="207"/>
      <c r="B4" s="247" t="s">
        <v>208</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row>
    <row r="5" spans="1:30" s="57" customFormat="1" ht="27.75" customHeight="1">
      <c r="A5" s="207"/>
      <c r="B5" s="269" t="s">
        <v>272</v>
      </c>
      <c r="C5" s="270"/>
      <c r="D5" s="270"/>
      <c r="E5" s="270"/>
      <c r="F5" s="270"/>
      <c r="G5" s="270"/>
      <c r="H5" s="270"/>
      <c r="I5" s="270"/>
      <c r="J5" s="270"/>
      <c r="K5" s="270"/>
      <c r="L5" s="270"/>
      <c r="M5" s="56"/>
      <c r="N5" s="56"/>
      <c r="O5" s="56"/>
      <c r="P5" s="56"/>
      <c r="Q5" s="56"/>
      <c r="R5" s="56"/>
      <c r="S5" s="56"/>
      <c r="T5" s="56"/>
      <c r="U5" s="56"/>
      <c r="V5" s="56"/>
      <c r="W5" s="56"/>
      <c r="X5" s="56"/>
      <c r="Y5" s="56"/>
      <c r="Z5" s="56"/>
      <c r="AA5" s="56"/>
      <c r="AB5" s="56"/>
      <c r="AC5" s="56"/>
      <c r="AD5" s="56"/>
    </row>
    <row r="6" spans="1:30" s="57" customFormat="1" ht="24" customHeight="1">
      <c r="A6" s="207"/>
      <c r="B6" s="271" t="s">
        <v>273</v>
      </c>
      <c r="C6" s="272"/>
      <c r="D6" s="272"/>
      <c r="E6" s="272"/>
      <c r="F6" s="272"/>
      <c r="G6" s="272"/>
      <c r="H6" s="272"/>
      <c r="I6" s="272"/>
      <c r="J6" s="272"/>
      <c r="K6" s="272"/>
      <c r="L6" s="236"/>
      <c r="M6" s="56"/>
      <c r="N6" s="56"/>
      <c r="O6" s="56"/>
      <c r="P6" s="56"/>
      <c r="Q6" s="56"/>
      <c r="R6" s="56"/>
      <c r="S6" s="56"/>
      <c r="T6" s="56"/>
      <c r="U6" s="56"/>
      <c r="V6" s="56"/>
      <c r="W6" s="56"/>
      <c r="X6" s="56"/>
      <c r="Y6" s="56"/>
      <c r="Z6" s="56"/>
      <c r="AA6" s="56"/>
      <c r="AB6" s="56"/>
      <c r="AC6" s="56"/>
      <c r="AD6" s="56"/>
    </row>
    <row r="7" spans="1:30" s="57" customFormat="1" ht="24" customHeight="1">
      <c r="A7" s="207"/>
      <c r="B7" s="271" t="s">
        <v>274</v>
      </c>
      <c r="C7" s="272"/>
      <c r="D7" s="272"/>
      <c r="E7" s="272"/>
      <c r="F7" s="272"/>
      <c r="G7" s="272"/>
      <c r="H7" s="272"/>
      <c r="I7" s="272"/>
      <c r="J7" s="272"/>
      <c r="K7" s="272"/>
      <c r="L7" s="237"/>
      <c r="M7" s="56"/>
      <c r="N7" s="56"/>
      <c r="O7" s="56"/>
      <c r="P7" s="56"/>
      <c r="Q7" s="56"/>
      <c r="R7" s="56"/>
      <c r="S7" s="56"/>
      <c r="T7" s="56"/>
      <c r="U7" s="56"/>
      <c r="V7" s="56"/>
      <c r="W7" s="56"/>
      <c r="X7" s="56"/>
      <c r="Y7" s="56"/>
      <c r="Z7" s="56"/>
      <c r="AA7" s="56"/>
      <c r="AB7" s="56"/>
      <c r="AC7" s="56"/>
      <c r="AD7" s="56"/>
    </row>
    <row r="8" spans="1:30" s="57" customFormat="1" ht="24" customHeight="1">
      <c r="A8" s="207"/>
      <c r="B8" s="238" t="s">
        <v>275</v>
      </c>
      <c r="C8" s="4"/>
      <c r="D8" s="4"/>
      <c r="E8" s="4"/>
      <c r="F8" s="4"/>
      <c r="G8" s="4"/>
      <c r="H8" s="4"/>
      <c r="I8" s="4"/>
      <c r="J8" s="4"/>
      <c r="K8" s="4"/>
      <c r="L8" s="237"/>
      <c r="M8" s="56"/>
      <c r="N8" s="56"/>
      <c r="O8" s="56"/>
      <c r="P8" s="56"/>
      <c r="Q8" s="56"/>
      <c r="R8" s="56"/>
      <c r="S8" s="56"/>
      <c r="T8" s="56"/>
      <c r="U8" s="56"/>
      <c r="V8" s="56"/>
      <c r="W8" s="56"/>
      <c r="X8" s="56"/>
      <c r="Y8" s="56"/>
      <c r="Z8" s="56"/>
      <c r="AA8" s="56"/>
      <c r="AB8" s="56"/>
      <c r="AC8" s="56"/>
      <c r="AD8" s="56"/>
    </row>
    <row r="9" spans="1:30" s="57" customFormat="1" ht="24" customHeight="1">
      <c r="A9" s="207"/>
      <c r="B9" s="238" t="s">
        <v>276</v>
      </c>
      <c r="C9" s="239"/>
      <c r="D9" s="239"/>
      <c r="E9" s="239"/>
      <c r="F9" s="239"/>
      <c r="G9" s="239"/>
      <c r="H9" s="239"/>
      <c r="I9" s="239"/>
      <c r="J9" s="239"/>
      <c r="K9" s="239"/>
      <c r="L9" s="237"/>
      <c r="M9" s="56"/>
      <c r="Y9" s="56"/>
      <c r="Z9" s="56"/>
      <c r="AA9" s="56"/>
      <c r="AB9" s="56"/>
      <c r="AC9" s="56"/>
      <c r="AD9" s="56"/>
    </row>
    <row r="10" spans="1:30" s="57" customFormat="1" ht="24" customHeight="1">
      <c r="A10" s="207"/>
      <c r="B10" s="235" t="s">
        <v>277</v>
      </c>
      <c r="C10" s="239"/>
      <c r="D10" s="239"/>
      <c r="E10" s="239"/>
      <c r="F10" s="239"/>
      <c r="G10" s="239"/>
      <c r="H10" s="239"/>
      <c r="I10" s="239"/>
      <c r="J10" s="239"/>
      <c r="K10" s="239"/>
      <c r="L10" s="4"/>
      <c r="M10" s="56"/>
      <c r="Y10" s="56"/>
      <c r="Z10" s="56"/>
      <c r="AA10" s="56"/>
      <c r="AB10" s="56"/>
      <c r="AC10" s="56"/>
      <c r="AD10" s="56"/>
    </row>
    <row r="11" spans="1:30" s="59" customFormat="1" ht="24" customHeight="1">
      <c r="A11" s="60"/>
      <c r="B11" s="252" t="s">
        <v>262</v>
      </c>
      <c r="C11" s="210"/>
      <c r="D11" s="61"/>
      <c r="E11" s="60"/>
      <c r="F11" s="209"/>
      <c r="G11" s="209"/>
      <c r="H11" s="209"/>
      <c r="I11" s="209"/>
      <c r="J11" s="60"/>
      <c r="K11" s="60"/>
      <c r="L11" s="60"/>
      <c r="M11" s="60"/>
      <c r="N11" s="60"/>
      <c r="O11" s="60"/>
      <c r="P11" s="60"/>
      <c r="Q11" s="60"/>
      <c r="R11" s="60"/>
      <c r="S11" s="60"/>
      <c r="T11" s="60"/>
      <c r="U11" s="60"/>
      <c r="V11" s="60"/>
      <c r="W11" s="60"/>
      <c r="X11" s="60"/>
      <c r="Y11" s="60"/>
      <c r="Z11" s="60"/>
      <c r="AA11" s="60"/>
      <c r="AB11" s="60"/>
      <c r="AC11" s="60"/>
      <c r="AD11" s="60"/>
    </row>
    <row r="12" spans="1:30" s="57" customFormat="1" ht="14.25" customHeight="1">
      <c r="A12" s="207"/>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row>
    <row r="13" spans="1:30" s="57" customFormat="1" ht="22.5" customHeight="1">
      <c r="A13" s="63"/>
      <c r="B13" s="268"/>
      <c r="E13" s="265" t="s">
        <v>290</v>
      </c>
      <c r="F13" s="265"/>
      <c r="G13" s="265"/>
      <c r="H13" s="265"/>
      <c r="I13" s="265"/>
      <c r="J13" s="265"/>
      <c r="K13" s="265"/>
      <c r="L13" s="265"/>
      <c r="M13" s="56"/>
      <c r="N13" s="56"/>
      <c r="O13" s="56"/>
      <c r="P13" s="56"/>
      <c r="Q13" s="56"/>
      <c r="R13" s="56"/>
      <c r="S13" s="56"/>
      <c r="T13" s="56"/>
      <c r="U13" s="56"/>
      <c r="V13" s="56"/>
      <c r="W13" s="56"/>
      <c r="X13" s="56"/>
      <c r="Y13" s="56"/>
      <c r="Z13" s="56"/>
      <c r="AA13" s="56"/>
      <c r="AB13" s="56"/>
      <c r="AC13" s="56"/>
      <c r="AD13" s="56"/>
    </row>
    <row r="14" spans="1:30" s="57" customFormat="1" ht="39" customHeight="1">
      <c r="A14" s="63"/>
      <c r="B14" s="268"/>
      <c r="C14" s="266" t="s">
        <v>291</v>
      </c>
      <c r="D14" s="266"/>
      <c r="E14" s="265"/>
      <c r="F14" s="265"/>
      <c r="G14" s="265"/>
      <c r="H14" s="265"/>
      <c r="I14" s="265"/>
      <c r="J14" s="265"/>
      <c r="K14" s="265"/>
      <c r="L14" s="265"/>
      <c r="M14" s="56"/>
      <c r="N14" s="56"/>
      <c r="O14" s="56"/>
      <c r="P14" s="56"/>
      <c r="Q14" s="56"/>
      <c r="R14" s="56"/>
      <c r="S14" s="56"/>
      <c r="T14" s="56"/>
      <c r="U14" s="56"/>
      <c r="V14" s="56"/>
      <c r="W14" s="56"/>
      <c r="X14" s="56"/>
      <c r="Y14" s="56"/>
      <c r="Z14" s="56"/>
      <c r="AA14" s="56"/>
      <c r="AB14" s="56"/>
      <c r="AC14" s="56"/>
      <c r="AD14" s="56"/>
    </row>
    <row r="15" spans="1:30" s="57" customFormat="1" ht="22.5" customHeight="1">
      <c r="A15" s="63"/>
      <c r="B15" s="268"/>
      <c r="C15" s="250"/>
      <c r="D15" s="250"/>
      <c r="E15" s="265"/>
      <c r="F15" s="265"/>
      <c r="G15" s="265"/>
      <c r="H15" s="265"/>
      <c r="I15" s="265"/>
      <c r="J15" s="265"/>
      <c r="K15" s="265"/>
      <c r="L15" s="265"/>
      <c r="M15" s="56"/>
      <c r="N15" s="56"/>
      <c r="O15" s="56"/>
      <c r="P15" s="56"/>
      <c r="Q15" s="56"/>
      <c r="R15" s="56"/>
      <c r="S15" s="56"/>
      <c r="T15" s="56"/>
      <c r="U15" s="56"/>
      <c r="V15" s="56"/>
      <c r="W15" s="56"/>
      <c r="X15" s="56"/>
      <c r="Y15" s="56"/>
      <c r="Z15" s="56"/>
      <c r="AA15" s="56"/>
      <c r="AB15" s="56"/>
      <c r="AC15" s="56"/>
      <c r="AD15" s="56"/>
    </row>
    <row r="16" spans="1:30" s="57" customFormat="1" ht="22.5" customHeight="1">
      <c r="A16" s="63"/>
      <c r="B16" s="268"/>
      <c r="C16" s="266" t="s">
        <v>293</v>
      </c>
      <c r="D16" s="266"/>
      <c r="E16" s="265" t="s">
        <v>292</v>
      </c>
      <c r="F16" s="265"/>
      <c r="G16" s="265"/>
      <c r="H16" s="265"/>
      <c r="I16" s="265"/>
      <c r="J16" s="265"/>
      <c r="K16" s="265"/>
      <c r="L16" s="265"/>
      <c r="M16" s="56"/>
      <c r="N16" s="56"/>
      <c r="O16" s="56"/>
      <c r="P16" s="56"/>
      <c r="Q16" s="56"/>
      <c r="R16" s="56"/>
      <c r="S16" s="56"/>
      <c r="T16" s="56"/>
      <c r="U16" s="56"/>
      <c r="V16" s="56"/>
      <c r="W16" s="56"/>
      <c r="X16" s="56"/>
      <c r="Y16" s="56"/>
      <c r="Z16" s="56"/>
      <c r="AA16" s="56"/>
      <c r="AB16" s="56"/>
      <c r="AC16" s="56"/>
      <c r="AD16" s="56"/>
    </row>
    <row r="17" spans="1:30" s="57" customFormat="1" ht="33" customHeight="1">
      <c r="A17" s="63"/>
      <c r="B17" s="268"/>
      <c r="C17" s="266"/>
      <c r="D17" s="266"/>
      <c r="E17" s="265"/>
      <c r="F17" s="265"/>
      <c r="G17" s="265"/>
      <c r="H17" s="265"/>
      <c r="I17" s="265"/>
      <c r="J17" s="265"/>
      <c r="K17" s="265"/>
      <c r="L17" s="265"/>
      <c r="M17" s="56"/>
      <c r="N17" s="56"/>
      <c r="O17" s="56"/>
      <c r="P17" s="56"/>
      <c r="Q17" s="56"/>
      <c r="R17" s="56"/>
      <c r="S17" s="56"/>
      <c r="T17" s="56"/>
      <c r="U17" s="56"/>
      <c r="V17" s="56"/>
      <c r="W17" s="56"/>
      <c r="X17" s="56"/>
      <c r="Y17" s="56"/>
      <c r="Z17" s="56"/>
      <c r="AA17" s="56"/>
      <c r="AB17" s="56"/>
      <c r="AC17" s="56"/>
      <c r="AD17" s="56"/>
    </row>
    <row r="18" spans="1:30" s="57" customFormat="1" ht="22.5" customHeight="1">
      <c r="A18" s="63"/>
      <c r="B18" s="268"/>
      <c r="C18" s="266"/>
      <c r="D18" s="266"/>
      <c r="E18" s="265"/>
      <c r="F18" s="265"/>
      <c r="G18" s="265"/>
      <c r="H18" s="265"/>
      <c r="I18" s="265"/>
      <c r="J18" s="265"/>
      <c r="K18" s="265"/>
      <c r="L18" s="265"/>
      <c r="M18" s="56"/>
      <c r="N18" s="56"/>
      <c r="O18" s="56"/>
      <c r="P18" s="56"/>
      <c r="Q18" s="56"/>
      <c r="R18" s="56"/>
      <c r="S18" s="56"/>
      <c r="T18" s="56"/>
      <c r="U18" s="56"/>
      <c r="V18" s="56"/>
      <c r="W18" s="56"/>
      <c r="X18" s="56"/>
      <c r="Y18" s="56"/>
      <c r="Z18" s="56"/>
      <c r="AA18" s="56"/>
      <c r="AB18" s="56"/>
      <c r="AC18" s="56"/>
      <c r="AD18" s="56"/>
    </row>
    <row r="19" spans="1:30" s="57" customFormat="1" ht="22.5" customHeight="1">
      <c r="A19" s="63"/>
      <c r="B19" s="268"/>
      <c r="C19" s="266" t="s">
        <v>295</v>
      </c>
      <c r="D19" s="266"/>
      <c r="E19" s="265" t="s">
        <v>294</v>
      </c>
      <c r="F19" s="265"/>
      <c r="G19" s="265"/>
      <c r="H19" s="265"/>
      <c r="I19" s="265"/>
      <c r="J19" s="265"/>
      <c r="K19" s="265"/>
      <c r="L19" s="265"/>
      <c r="M19" s="56"/>
      <c r="N19" s="56"/>
      <c r="O19" s="56"/>
      <c r="P19" s="56"/>
      <c r="Q19" s="56"/>
      <c r="R19" s="56"/>
      <c r="S19" s="56"/>
      <c r="T19" s="56"/>
      <c r="U19" s="56"/>
      <c r="V19" s="56"/>
      <c r="W19" s="56"/>
      <c r="X19" s="56"/>
      <c r="Y19" s="56"/>
      <c r="Z19" s="56"/>
      <c r="AA19" s="56"/>
      <c r="AB19" s="56"/>
      <c r="AC19" s="56"/>
      <c r="AD19" s="56"/>
    </row>
    <row r="20" spans="1:30" s="57" customFormat="1" ht="22.5" customHeight="1">
      <c r="A20" s="63"/>
      <c r="B20" s="268"/>
      <c r="C20" s="266"/>
      <c r="D20" s="266"/>
      <c r="E20" s="265"/>
      <c r="F20" s="265"/>
      <c r="G20" s="265"/>
      <c r="H20" s="265"/>
      <c r="I20" s="265"/>
      <c r="J20" s="265"/>
      <c r="K20" s="265"/>
      <c r="L20" s="265"/>
      <c r="M20" s="56"/>
      <c r="N20" s="56"/>
      <c r="O20" s="56"/>
      <c r="P20" s="56"/>
      <c r="Q20" s="56"/>
      <c r="R20" s="56"/>
      <c r="S20" s="56"/>
      <c r="T20" s="56"/>
      <c r="U20" s="56"/>
      <c r="V20" s="56"/>
      <c r="W20" s="56"/>
      <c r="X20" s="56"/>
      <c r="Y20" s="56"/>
      <c r="Z20" s="56"/>
      <c r="AA20" s="56"/>
      <c r="AB20" s="56"/>
      <c r="AC20" s="56"/>
      <c r="AD20" s="56"/>
    </row>
    <row r="21" spans="1:30" s="57" customFormat="1" ht="29.25" customHeight="1">
      <c r="A21" s="63"/>
      <c r="B21" s="268"/>
      <c r="C21" s="266"/>
      <c r="D21" s="266"/>
      <c r="E21" s="265"/>
      <c r="F21" s="265"/>
      <c r="G21" s="265"/>
      <c r="H21" s="265"/>
      <c r="I21" s="265"/>
      <c r="J21" s="265"/>
      <c r="K21" s="265"/>
      <c r="L21" s="265"/>
      <c r="M21" s="56"/>
      <c r="N21" s="56"/>
      <c r="O21" s="56"/>
      <c r="P21" s="56"/>
      <c r="Q21" s="56"/>
      <c r="R21" s="56"/>
      <c r="S21" s="56"/>
      <c r="T21" s="56"/>
      <c r="U21" s="56"/>
      <c r="V21" s="56"/>
      <c r="W21" s="56"/>
      <c r="X21" s="56"/>
      <c r="Y21" s="56"/>
      <c r="Z21" s="56"/>
      <c r="AA21" s="56"/>
      <c r="AB21" s="56"/>
      <c r="AC21" s="56"/>
      <c r="AD21" s="56"/>
    </row>
    <row r="22" spans="1:30" s="57" customFormat="1" ht="9.75" customHeight="1">
      <c r="A22" s="63"/>
      <c r="B22" s="268"/>
      <c r="C22" s="251"/>
      <c r="D22" s="251"/>
      <c r="E22" s="251"/>
      <c r="F22" s="251"/>
      <c r="G22" s="251"/>
      <c r="H22" s="251"/>
      <c r="I22" s="251"/>
      <c r="J22" s="251"/>
      <c r="K22" s="251"/>
      <c r="L22" s="56"/>
      <c r="M22" s="56"/>
      <c r="N22" s="56"/>
      <c r="O22" s="56"/>
      <c r="P22" s="56"/>
      <c r="Q22" s="56"/>
      <c r="R22" s="56"/>
      <c r="S22" s="56"/>
      <c r="T22" s="56"/>
      <c r="U22" s="56"/>
      <c r="V22" s="56"/>
      <c r="W22" s="56"/>
      <c r="X22" s="56"/>
      <c r="Y22" s="56"/>
      <c r="Z22" s="56"/>
      <c r="AA22" s="56"/>
      <c r="AB22" s="56"/>
      <c r="AC22" s="56"/>
      <c r="AD22" s="56"/>
    </row>
    <row r="23" spans="1:30" s="55" customFormat="1" ht="22.5" customHeight="1">
      <c r="A23" s="154"/>
      <c r="B23" s="247" t="s">
        <v>279</v>
      </c>
      <c r="C23" s="65"/>
      <c r="D23" s="65"/>
      <c r="E23" s="65"/>
      <c r="F23" s="65"/>
      <c r="G23" s="65"/>
      <c r="H23" s="65"/>
      <c r="I23" s="65"/>
      <c r="J23" s="65"/>
      <c r="K23" s="65"/>
      <c r="L23" s="54"/>
      <c r="M23" s="54"/>
      <c r="N23" s="54"/>
      <c r="O23" s="54"/>
      <c r="P23" s="54"/>
      <c r="Q23" s="54"/>
      <c r="R23" s="54"/>
      <c r="S23" s="54"/>
      <c r="T23" s="54"/>
      <c r="U23" s="54"/>
      <c r="V23" s="54"/>
      <c r="W23" s="54"/>
      <c r="X23" s="54"/>
      <c r="Y23" s="54"/>
      <c r="Z23" s="54"/>
      <c r="AA23" s="54"/>
      <c r="AB23" s="54"/>
      <c r="AC23" s="54"/>
      <c r="AD23" s="54"/>
    </row>
    <row r="24" spans="1:30" s="55" customFormat="1" ht="16.5" customHeight="1">
      <c r="A24" s="66"/>
      <c r="B24" s="238" t="s">
        <v>280</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row>
    <row r="25" spans="2:30" s="55" customFormat="1" ht="16.5" customHeight="1">
      <c r="B25" s="238" t="s">
        <v>281</v>
      </c>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row>
    <row r="26" spans="2:30" s="55" customFormat="1" ht="9.75" customHeight="1">
      <c r="B26" s="238"/>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row>
    <row r="27" spans="2:30" s="55" customFormat="1" ht="15">
      <c r="B27" s="247" t="s">
        <v>207</v>
      </c>
      <c r="C27" s="207"/>
      <c r="D27" s="207"/>
      <c r="E27" s="207"/>
      <c r="F27" s="207"/>
      <c r="G27" s="207"/>
      <c r="H27" s="207"/>
      <c r="I27" s="207"/>
      <c r="J27" s="207"/>
      <c r="K27" s="207"/>
      <c r="L27" s="207"/>
      <c r="M27" s="56"/>
      <c r="N27" s="54"/>
      <c r="O27" s="54"/>
      <c r="P27" s="54"/>
      <c r="Q27" s="54"/>
      <c r="R27" s="54"/>
      <c r="S27" s="54"/>
      <c r="T27" s="54"/>
      <c r="U27" s="54"/>
      <c r="V27" s="54"/>
      <c r="W27" s="54"/>
      <c r="X27" s="54"/>
      <c r="Y27" s="54"/>
      <c r="Z27" s="54"/>
      <c r="AA27" s="54"/>
      <c r="AB27" s="54"/>
      <c r="AC27" s="54"/>
      <c r="AD27" s="54"/>
    </row>
    <row r="28" spans="2:30" s="55" customFormat="1" ht="15">
      <c r="B28" s="240" t="s">
        <v>278</v>
      </c>
      <c r="C28" s="208"/>
      <c r="D28" s="208"/>
      <c r="E28" s="208"/>
      <c r="F28" s="208"/>
      <c r="G28" s="208"/>
      <c r="H28" s="208"/>
      <c r="I28" s="208"/>
      <c r="J28" s="208"/>
      <c r="K28" s="208"/>
      <c r="L28" s="208"/>
      <c r="M28" s="56"/>
      <c r="N28" s="54"/>
      <c r="O28" s="54"/>
      <c r="P28" s="54"/>
      <c r="Q28" s="54"/>
      <c r="R28" s="54"/>
      <c r="S28" s="54"/>
      <c r="T28" s="54"/>
      <c r="U28" s="54"/>
      <c r="V28" s="54"/>
      <c r="W28" s="54"/>
      <c r="X28" s="54"/>
      <c r="Y28" s="54"/>
      <c r="Z28" s="54"/>
      <c r="AA28" s="54"/>
      <c r="AB28" s="54"/>
      <c r="AC28" s="54"/>
      <c r="AD28" s="54"/>
    </row>
    <row r="29" spans="2:30" s="55" customFormat="1" ht="15">
      <c r="B29" s="62" t="s">
        <v>261</v>
      </c>
      <c r="C29" s="207"/>
      <c r="D29" s="207"/>
      <c r="E29" s="207"/>
      <c r="F29" s="207"/>
      <c r="G29" s="207"/>
      <c r="H29" s="207"/>
      <c r="I29" s="207"/>
      <c r="J29" s="207"/>
      <c r="K29" s="207"/>
      <c r="L29" s="207"/>
      <c r="M29" s="56"/>
      <c r="N29" s="54"/>
      <c r="O29" s="54"/>
      <c r="P29" s="54"/>
      <c r="Q29" s="54"/>
      <c r="R29" s="54"/>
      <c r="S29" s="54"/>
      <c r="T29" s="54"/>
      <c r="U29" s="54"/>
      <c r="V29" s="54"/>
      <c r="W29" s="54"/>
      <c r="X29" s="54"/>
      <c r="Y29" s="54"/>
      <c r="Z29" s="54"/>
      <c r="AA29" s="54"/>
      <c r="AB29" s="54"/>
      <c r="AC29" s="54"/>
      <c r="AD29" s="54"/>
    </row>
    <row r="30" spans="2:30" s="55" customFormat="1" ht="9.75" customHeight="1">
      <c r="B30" s="62"/>
      <c r="C30" s="207"/>
      <c r="D30" s="207"/>
      <c r="E30" s="207"/>
      <c r="F30" s="207"/>
      <c r="G30" s="207"/>
      <c r="H30" s="207"/>
      <c r="I30" s="207"/>
      <c r="J30" s="207"/>
      <c r="K30" s="207"/>
      <c r="L30" s="207"/>
      <c r="M30" s="56"/>
      <c r="N30" s="54"/>
      <c r="O30" s="54"/>
      <c r="P30" s="54"/>
      <c r="Q30" s="54"/>
      <c r="R30" s="54"/>
      <c r="S30" s="54"/>
      <c r="T30" s="54"/>
      <c r="U30" s="54"/>
      <c r="V30" s="54"/>
      <c r="W30" s="54"/>
      <c r="X30" s="54"/>
      <c r="Y30" s="54"/>
      <c r="Z30" s="54"/>
      <c r="AA30" s="54"/>
      <c r="AB30" s="54"/>
      <c r="AC30" s="54"/>
      <c r="AD30" s="54"/>
    </row>
    <row r="31" spans="2:30" s="55" customFormat="1" ht="15">
      <c r="B31" s="247" t="s">
        <v>302</v>
      </c>
      <c r="C31" s="207"/>
      <c r="D31" s="207"/>
      <c r="E31" s="207"/>
      <c r="F31" s="207"/>
      <c r="G31" s="207"/>
      <c r="H31" s="207"/>
      <c r="I31" s="207"/>
      <c r="J31" s="207"/>
      <c r="K31" s="207"/>
      <c r="L31" s="207"/>
      <c r="M31" s="56"/>
      <c r="N31" s="54"/>
      <c r="O31" s="54"/>
      <c r="P31" s="54"/>
      <c r="Q31" s="54"/>
      <c r="R31" s="54"/>
      <c r="S31" s="54"/>
      <c r="T31" s="54"/>
      <c r="U31" s="54"/>
      <c r="V31" s="54"/>
      <c r="W31" s="54"/>
      <c r="X31" s="54"/>
      <c r="Y31" s="54"/>
      <c r="Z31" s="54"/>
      <c r="AA31" s="54"/>
      <c r="AB31" s="54"/>
      <c r="AC31" s="54"/>
      <c r="AD31" s="54"/>
    </row>
    <row r="32" spans="2:30" s="55" customFormat="1" ht="15">
      <c r="B32" s="240" t="s">
        <v>301</v>
      </c>
      <c r="C32" s="240"/>
      <c r="D32" s="240"/>
      <c r="E32" s="240"/>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row>
    <row r="33" spans="2:30" s="55" customFormat="1" ht="15">
      <c r="B33" s="240" t="s">
        <v>300</v>
      </c>
      <c r="C33" s="240"/>
      <c r="D33" s="240"/>
      <c r="E33" s="240"/>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row>
    <row r="34" spans="2:30" s="55" customFormat="1" ht="15">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row>
    <row r="35" spans="2:30" s="55" customFormat="1" ht="15">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row>
    <row r="36" spans="2:30" s="55" customFormat="1" ht="15">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row>
    <row r="37" spans="2:30" s="55" customFormat="1" ht="15">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row>
    <row r="38" spans="2:30" s="55" customFormat="1" ht="15">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row>
    <row r="39" spans="2:30" s="55" customFormat="1" ht="15">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row>
    <row r="40" spans="2:30" s="55" customFormat="1" ht="15">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row>
    <row r="41" spans="2:30" s="55" customFormat="1" ht="15">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row>
    <row r="42" spans="2:30" s="55" customFormat="1" ht="15">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row>
    <row r="43" spans="2:30" s="55" customFormat="1" ht="15">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row>
    <row r="44" spans="2:30" s="55" customFormat="1" ht="15">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row>
    <row r="45" spans="2:30" s="55" customFormat="1" ht="15">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row>
    <row r="46" spans="2:30" s="55" customFormat="1" ht="15">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row>
    <row r="47" spans="2:30" s="55" customFormat="1" ht="15">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row>
    <row r="48" spans="2:30" s="55" customFormat="1" ht="15">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row>
    <row r="49" spans="2:30" s="55" customFormat="1" ht="15">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row>
    <row r="50" spans="2:30" s="55" customFormat="1" ht="15">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row>
    <row r="51" spans="2:30" s="55" customFormat="1" ht="15">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row>
    <row r="52" spans="2:30" s="55" customFormat="1" ht="15">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row>
    <row r="53" spans="2:30" s="55" customFormat="1" ht="15">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row>
    <row r="54" spans="2:30" s="55" customFormat="1" ht="15">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row>
    <row r="55" spans="2:30" s="55" customFormat="1" ht="15">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row>
    <row r="56" spans="2:30" s="55" customFormat="1" ht="15">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row>
    <row r="57" spans="2:30" s="55" customFormat="1" ht="15">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row>
    <row r="58" spans="2:30" s="55" customFormat="1" ht="15">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row>
    <row r="59" spans="2:30" s="55" customFormat="1" ht="15">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row>
    <row r="60" spans="2:30" s="55" customFormat="1" ht="15">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row>
    <row r="61" spans="2:30" s="55" customFormat="1" ht="15">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row>
    <row r="62" spans="2:30" s="55" customFormat="1" ht="15">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row>
    <row r="63" spans="2:30" s="55" customFormat="1" ht="15">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row>
    <row r="64" spans="2:30" s="55" customFormat="1" ht="15">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row>
    <row r="65" spans="2:30" s="55" customFormat="1" ht="15">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row>
    <row r="66" spans="2:30" s="55" customFormat="1" ht="15">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row>
    <row r="67" spans="2:30" s="55" customFormat="1" ht="15">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row>
    <row r="68" spans="2:30" s="55" customFormat="1" ht="15">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row>
    <row r="69" spans="2:30" s="55" customFormat="1" ht="15">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row>
    <row r="70" spans="2:30" s="55" customFormat="1" ht="15">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row>
    <row r="71" spans="2:30" s="55" customFormat="1" ht="15">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row>
    <row r="72" spans="2:30" s="55" customFormat="1" ht="15">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row>
  </sheetData>
  <sheetProtection password="8B19" sheet="1" objects="1" selectLockedCells="1"/>
  <mergeCells count="13">
    <mergeCell ref="B2:C2"/>
    <mergeCell ref="B19:B22"/>
    <mergeCell ref="B5:L5"/>
    <mergeCell ref="B6:K6"/>
    <mergeCell ref="B7:K7"/>
    <mergeCell ref="B16:B18"/>
    <mergeCell ref="B13:B15"/>
    <mergeCell ref="E19:L21"/>
    <mergeCell ref="C19:D21"/>
    <mergeCell ref="E13:L15"/>
    <mergeCell ref="C14:D14"/>
    <mergeCell ref="E16:L18"/>
    <mergeCell ref="C16:D18"/>
  </mergeCells>
  <printOptions/>
  <pageMargins left="0.31496062992125984" right="0.31496062992125984" top="0.5511811023622047" bottom="0.5511811023622047" header="0.15748031496062992" footer="0.15748031496062992"/>
  <pageSetup fitToHeight="3" fitToWidth="1" horizontalDpi="600" verticalDpi="600" orientation="portrait" paperSize="9" scale="69" r:id="rId2"/>
  <headerFooter>
    <oddFooter>&amp;L&amp;8Version 2.5/Aug 2011&amp;C&amp;8&amp;A
&amp;F&amp;R&amp;8Printed: &amp;D</oddFooter>
  </headerFooter>
  <drawing r:id="rId1"/>
</worksheet>
</file>

<file path=xl/worksheets/sheet10.xml><?xml version="1.0" encoding="utf-8"?>
<worksheet xmlns="http://schemas.openxmlformats.org/spreadsheetml/2006/main" xmlns:r="http://schemas.openxmlformats.org/officeDocument/2006/relationships">
  <dimension ref="A1:P152"/>
  <sheetViews>
    <sheetView zoomScale="90" zoomScaleNormal="90" zoomScalePageLayoutView="0" workbookViewId="0" topLeftCell="A1">
      <selection activeCell="A1" sqref="A1"/>
    </sheetView>
  </sheetViews>
  <sheetFormatPr defaultColWidth="8.8515625" defaultRowHeight="15"/>
  <cols>
    <col min="1" max="1" width="29.421875" style="0" customWidth="1"/>
    <col min="2" max="2" width="15.28125" style="0" customWidth="1"/>
    <col min="3" max="3" width="10.421875" style="0" customWidth="1"/>
    <col min="4" max="4" width="8.8515625" style="0" customWidth="1"/>
    <col min="5" max="5" width="11.28125" style="0" customWidth="1"/>
    <col min="6" max="6" width="10.140625" style="0" customWidth="1"/>
    <col min="7" max="7" width="10.00390625" style="0" customWidth="1"/>
    <col min="8" max="9" width="10.421875" style="0" customWidth="1"/>
    <col min="10" max="10" width="11.421875" style="0" customWidth="1"/>
    <col min="11" max="11" width="10.421875" style="0" customWidth="1"/>
    <col min="12" max="12" width="11.28125" style="0" customWidth="1"/>
    <col min="13" max="14" width="8.8515625" style="0" customWidth="1"/>
    <col min="15" max="15" width="11.28125" style="0" customWidth="1"/>
    <col min="16" max="16" width="22.421875" style="0" customWidth="1"/>
  </cols>
  <sheetData>
    <row r="1" spans="2:3" ht="15">
      <c r="B1" t="s">
        <v>92</v>
      </c>
      <c r="C1" t="s">
        <v>56</v>
      </c>
    </row>
    <row r="2" ht="15">
      <c r="A2" s="2" t="s">
        <v>5</v>
      </c>
    </row>
    <row r="3" ht="15">
      <c r="A3" s="2" t="s">
        <v>6</v>
      </c>
    </row>
    <row r="4" ht="15">
      <c r="A4" s="2" t="s">
        <v>7</v>
      </c>
    </row>
    <row r="5" ht="45">
      <c r="A5" s="3" t="s">
        <v>53</v>
      </c>
    </row>
    <row r="6" ht="15">
      <c r="A6" s="3" t="s">
        <v>8</v>
      </c>
    </row>
    <row r="7" ht="15">
      <c r="A7" s="6"/>
    </row>
    <row r="8" spans="1:3" ht="15">
      <c r="A8" t="s">
        <v>54</v>
      </c>
      <c r="B8">
        <f>CMDryMilkCurrentAdv</f>
        <v>75</v>
      </c>
      <c r="C8">
        <f>CMDryMilkTargetAdv</f>
        <v>39</v>
      </c>
    </row>
    <row r="9" spans="1:3" ht="15">
      <c r="A9" t="s">
        <v>55</v>
      </c>
      <c r="B9">
        <f>J96</f>
        <v>5.25</v>
      </c>
      <c r="C9">
        <f>B9</f>
        <v>5.25</v>
      </c>
    </row>
    <row r="10" spans="1:3" ht="15">
      <c r="A10" t="s">
        <v>136</v>
      </c>
      <c r="B10">
        <f>ProdCurrent/CalvedNoTotalCurrent</f>
        <v>350</v>
      </c>
      <c r="C10">
        <f>ProdTarget/CalvedNoTotalTarget</f>
        <v>350</v>
      </c>
    </row>
    <row r="11" spans="1:3" ht="15">
      <c r="A11" t="s">
        <v>58</v>
      </c>
      <c r="B11" s="4">
        <f>LactDaysAve</f>
        <v>270</v>
      </c>
      <c r="C11">
        <f>LactDaysAve</f>
        <v>270</v>
      </c>
    </row>
    <row r="12" spans="1:3" ht="15">
      <c r="A12" t="s">
        <v>134</v>
      </c>
      <c r="B12" s="30">
        <f>B10/B11</f>
        <v>1.2962962962962963</v>
      </c>
      <c r="C12" s="30">
        <f>C10/C11</f>
        <v>1.2962962962962963</v>
      </c>
    </row>
    <row r="13" spans="1:12" ht="90">
      <c r="A13" s="1" t="s">
        <v>57</v>
      </c>
      <c r="D13" t="s">
        <v>59</v>
      </c>
      <c r="E13" s="1" t="s">
        <v>88</v>
      </c>
      <c r="F13" s="1" t="s">
        <v>137</v>
      </c>
      <c r="G13" s="1" t="s">
        <v>138</v>
      </c>
      <c r="H13" s="1" t="s">
        <v>139</v>
      </c>
      <c r="I13" s="1" t="s">
        <v>140</v>
      </c>
      <c r="J13" s="1" t="s">
        <v>120</v>
      </c>
      <c r="K13" s="1" t="s">
        <v>141</v>
      </c>
      <c r="L13" s="1" t="s">
        <v>121</v>
      </c>
    </row>
    <row r="14" spans="1:16" ht="15">
      <c r="A14">
        <v>1</v>
      </c>
      <c r="B14">
        <f>DataInputAdvanced!C69</f>
        <v>15</v>
      </c>
      <c r="C14">
        <f>DataInputAdvanced!D69</f>
        <v>8</v>
      </c>
      <c r="D14">
        <f>B14-C14</f>
        <v>7</v>
      </c>
      <c r="E14" s="7">
        <v>1.007042253521127</v>
      </c>
      <c r="F14" s="28">
        <f>B14*$B$9*($B$10/$B$11)*E14</f>
        <v>102.80223004694837</v>
      </c>
      <c r="G14" s="28">
        <f>C14*$B$9*($B$10/$B$11)*E14</f>
        <v>54.82785602503913</v>
      </c>
      <c r="H14" s="28">
        <f>F14-G14</f>
        <v>47.974374021909235</v>
      </c>
      <c r="I14" s="28">
        <f>$B$10*B14*$B$112</f>
        <v>173.25</v>
      </c>
      <c r="J14" s="28">
        <f>$B$10*C14*$B$112</f>
        <v>92.4</v>
      </c>
      <c r="K14" s="28">
        <f>I14-F14</f>
        <v>70.44776995305163</v>
      </c>
      <c r="L14" s="28">
        <f>J14-G14</f>
        <v>37.57214397496087</v>
      </c>
      <c r="N14" s="32"/>
      <c r="P14" s="33"/>
    </row>
    <row r="15" spans="1:16" ht="15">
      <c r="A15">
        <v>2</v>
      </c>
      <c r="B15">
        <f>DataInputAdvanced!C71</f>
        <v>15</v>
      </c>
      <c r="C15">
        <f>DataInputAdvanced!D71</f>
        <v>8</v>
      </c>
      <c r="D15">
        <f aca="true" t="shared" si="0" ref="D15:D24">B15-C15</f>
        <v>7</v>
      </c>
      <c r="E15" s="7">
        <v>1.1338028169014085</v>
      </c>
      <c r="F15" s="28">
        <f aca="true" t="shared" si="1" ref="F15:F24">B15*$B$9*($B$10/$B$11)*E15</f>
        <v>115.74237089201878</v>
      </c>
      <c r="G15" s="28">
        <f aca="true" t="shared" si="2" ref="G15:G24">C15*$B$9*($B$10/$B$11)*E15</f>
        <v>61.72926447574335</v>
      </c>
      <c r="H15" s="28">
        <f aca="true" t="shared" si="3" ref="H15:H25">F15-G15</f>
        <v>54.013106416275434</v>
      </c>
      <c r="I15" s="28">
        <f aca="true" t="shared" si="4" ref="I15:I24">$B$10*B15*$B$112</f>
        <v>173.25</v>
      </c>
      <c r="J15" s="28">
        <f aca="true" t="shared" si="5" ref="J15:J24">$B$10*C15*$B$112</f>
        <v>92.4</v>
      </c>
      <c r="K15" s="28">
        <f aca="true" t="shared" si="6" ref="K15:K24">I15-F15</f>
        <v>57.50762910798122</v>
      </c>
      <c r="L15" s="28">
        <f aca="true" t="shared" si="7" ref="L15:L24">J15-G15</f>
        <v>30.670735524256656</v>
      </c>
      <c r="N15" s="32"/>
      <c r="P15" s="33"/>
    </row>
    <row r="16" spans="1:14" ht="15">
      <c r="A16">
        <v>3</v>
      </c>
      <c r="B16">
        <f>DataInputAdvanced!C73</f>
        <v>15</v>
      </c>
      <c r="C16">
        <f>DataInputAdvanced!D73</f>
        <v>8</v>
      </c>
      <c r="D16">
        <f t="shared" si="0"/>
        <v>7</v>
      </c>
      <c r="E16" s="7">
        <v>1.2112676056338028</v>
      </c>
      <c r="F16" s="28">
        <f t="shared" si="1"/>
        <v>123.65023474178403</v>
      </c>
      <c r="G16" s="28">
        <f t="shared" si="2"/>
        <v>65.94679186228481</v>
      </c>
      <c r="H16" s="28">
        <f t="shared" si="3"/>
        <v>57.70344287949922</v>
      </c>
      <c r="I16" s="28">
        <f t="shared" si="4"/>
        <v>173.25</v>
      </c>
      <c r="J16" s="28">
        <f t="shared" si="5"/>
        <v>92.4</v>
      </c>
      <c r="K16" s="28">
        <f t="shared" si="6"/>
        <v>49.59976525821597</v>
      </c>
      <c r="L16" s="28">
        <f t="shared" si="7"/>
        <v>26.453208137715194</v>
      </c>
      <c r="N16" s="32"/>
    </row>
    <row r="17" spans="1:12" ht="15">
      <c r="A17">
        <v>4</v>
      </c>
      <c r="B17">
        <f>DataInputAdvanced!C75</f>
        <v>15</v>
      </c>
      <c r="C17">
        <f>DataInputAdvanced!D75</f>
        <v>8</v>
      </c>
      <c r="D17">
        <f t="shared" si="0"/>
        <v>7</v>
      </c>
      <c r="E17" s="7">
        <v>1.2112676056338028</v>
      </c>
      <c r="F17" s="28">
        <f t="shared" si="1"/>
        <v>123.65023474178403</v>
      </c>
      <c r="G17" s="28">
        <f t="shared" si="2"/>
        <v>65.94679186228481</v>
      </c>
      <c r="H17" s="28">
        <f t="shared" si="3"/>
        <v>57.70344287949922</v>
      </c>
      <c r="I17" s="28">
        <f t="shared" si="4"/>
        <v>173.25</v>
      </c>
      <c r="J17" s="28">
        <f t="shared" si="5"/>
        <v>92.4</v>
      </c>
      <c r="K17" s="28">
        <f t="shared" si="6"/>
        <v>49.59976525821597</v>
      </c>
      <c r="L17" s="28">
        <f t="shared" si="7"/>
        <v>26.453208137715194</v>
      </c>
    </row>
    <row r="18" spans="1:12" ht="15">
      <c r="A18">
        <v>5</v>
      </c>
      <c r="B18">
        <f>DataInputAdvanced!C77</f>
        <v>2</v>
      </c>
      <c r="C18">
        <f>DataInputAdvanced!D77</f>
        <v>1</v>
      </c>
      <c r="D18">
        <f t="shared" si="0"/>
        <v>1</v>
      </c>
      <c r="E18" s="7">
        <v>1.119718309859155</v>
      </c>
      <c r="F18" s="28">
        <f t="shared" si="1"/>
        <v>15.240610328638498</v>
      </c>
      <c r="G18" s="28">
        <f t="shared" si="2"/>
        <v>7.620305164319249</v>
      </c>
      <c r="H18" s="28">
        <f t="shared" si="3"/>
        <v>7.620305164319249</v>
      </c>
      <c r="I18" s="28">
        <f t="shared" si="4"/>
        <v>23.1</v>
      </c>
      <c r="J18" s="28">
        <f t="shared" si="5"/>
        <v>11.55</v>
      </c>
      <c r="K18" s="28">
        <f t="shared" si="6"/>
        <v>7.8593896713615035</v>
      </c>
      <c r="L18" s="28">
        <f t="shared" si="7"/>
        <v>3.9296948356807517</v>
      </c>
    </row>
    <row r="19" spans="1:12" ht="15">
      <c r="A19">
        <v>6</v>
      </c>
      <c r="B19">
        <f>DataInputAdvanced!C79</f>
        <v>2</v>
      </c>
      <c r="C19">
        <f>DataInputAdvanced!D79</f>
        <v>1</v>
      </c>
      <c r="D19">
        <f t="shared" si="0"/>
        <v>1</v>
      </c>
      <c r="E19" s="7">
        <v>1.0140845070422535</v>
      </c>
      <c r="F19" s="28">
        <f t="shared" si="1"/>
        <v>13.80281690140845</v>
      </c>
      <c r="G19" s="28">
        <f t="shared" si="2"/>
        <v>6.901408450704225</v>
      </c>
      <c r="H19" s="28">
        <f t="shared" si="3"/>
        <v>6.901408450704225</v>
      </c>
      <c r="I19" s="28">
        <f t="shared" si="4"/>
        <v>23.1</v>
      </c>
      <c r="J19" s="28">
        <f t="shared" si="5"/>
        <v>11.55</v>
      </c>
      <c r="K19" s="28">
        <f t="shared" si="6"/>
        <v>9.297183098591551</v>
      </c>
      <c r="L19" s="28">
        <f t="shared" si="7"/>
        <v>4.648591549295776</v>
      </c>
    </row>
    <row r="20" spans="1:12" ht="15">
      <c r="A20">
        <v>7</v>
      </c>
      <c r="B20">
        <f>DataInputAdvanced!C81</f>
        <v>2</v>
      </c>
      <c r="C20">
        <f>DataInputAdvanced!D81</f>
        <v>1</v>
      </c>
      <c r="D20">
        <f t="shared" si="0"/>
        <v>1</v>
      </c>
      <c r="E20" s="7">
        <v>0.9366197183098592</v>
      </c>
      <c r="F20" s="28">
        <f t="shared" si="1"/>
        <v>12.748435054773084</v>
      </c>
      <c r="G20" s="28">
        <f t="shared" si="2"/>
        <v>6.374217527386542</v>
      </c>
      <c r="H20" s="28">
        <f t="shared" si="3"/>
        <v>6.374217527386542</v>
      </c>
      <c r="I20" s="28">
        <f t="shared" si="4"/>
        <v>23.1</v>
      </c>
      <c r="J20" s="28">
        <f t="shared" si="5"/>
        <v>11.55</v>
      </c>
      <c r="K20" s="28">
        <f t="shared" si="6"/>
        <v>10.351564945226917</v>
      </c>
      <c r="L20" s="28">
        <f t="shared" si="7"/>
        <v>5.1757824726134585</v>
      </c>
    </row>
    <row r="21" spans="1:12" ht="15">
      <c r="A21">
        <v>8</v>
      </c>
      <c r="B21">
        <f>DataInputAdvanced!C83</f>
        <v>2</v>
      </c>
      <c r="C21">
        <f>DataInputAdvanced!D83</f>
        <v>1</v>
      </c>
      <c r="D21">
        <f t="shared" si="0"/>
        <v>1</v>
      </c>
      <c r="E21" s="7">
        <v>0.8028169014084509</v>
      </c>
      <c r="F21" s="28">
        <f t="shared" si="1"/>
        <v>10.927230046948358</v>
      </c>
      <c r="G21" s="28">
        <f t="shared" si="2"/>
        <v>5.463615023474179</v>
      </c>
      <c r="H21" s="28">
        <f t="shared" si="3"/>
        <v>5.463615023474179</v>
      </c>
      <c r="I21" s="28">
        <f t="shared" si="4"/>
        <v>23.1</v>
      </c>
      <c r="J21" s="28">
        <f t="shared" si="5"/>
        <v>11.55</v>
      </c>
      <c r="K21" s="28">
        <f t="shared" si="6"/>
        <v>12.172769953051644</v>
      </c>
      <c r="L21" s="28">
        <f t="shared" si="7"/>
        <v>6.086384976525822</v>
      </c>
    </row>
    <row r="22" spans="1:12" ht="15">
      <c r="A22">
        <v>9</v>
      </c>
      <c r="B22">
        <f>DataInputAdvanced!C85</f>
        <v>2</v>
      </c>
      <c r="C22">
        <f>DataInputAdvanced!D85</f>
        <v>1</v>
      </c>
      <c r="D22">
        <f t="shared" si="0"/>
        <v>1</v>
      </c>
      <c r="E22" s="7">
        <v>0.823943661971831</v>
      </c>
      <c r="F22" s="28">
        <f t="shared" si="1"/>
        <v>11.214788732394366</v>
      </c>
      <c r="G22" s="28">
        <f t="shared" si="2"/>
        <v>5.607394366197183</v>
      </c>
      <c r="H22" s="28">
        <f t="shared" si="3"/>
        <v>5.607394366197183</v>
      </c>
      <c r="I22" s="28">
        <f t="shared" si="4"/>
        <v>23.1</v>
      </c>
      <c r="J22" s="28">
        <f t="shared" si="5"/>
        <v>11.55</v>
      </c>
      <c r="K22" s="28">
        <f t="shared" si="6"/>
        <v>11.885211267605635</v>
      </c>
      <c r="L22" s="28">
        <f t="shared" si="7"/>
        <v>5.942605633802818</v>
      </c>
    </row>
    <row r="23" spans="1:12" ht="15">
      <c r="A23">
        <v>10</v>
      </c>
      <c r="B23">
        <f>DataInputAdvanced!C87</f>
        <v>2</v>
      </c>
      <c r="C23">
        <f>DataInputAdvanced!D87</f>
        <v>1</v>
      </c>
      <c r="D23">
        <f t="shared" si="0"/>
        <v>1</v>
      </c>
      <c r="E23" s="7">
        <v>0.7605633802816902</v>
      </c>
      <c r="F23" s="28">
        <f t="shared" si="1"/>
        <v>10.35211267605634</v>
      </c>
      <c r="G23" s="28">
        <f t="shared" si="2"/>
        <v>5.17605633802817</v>
      </c>
      <c r="H23" s="28">
        <f t="shared" si="3"/>
        <v>5.17605633802817</v>
      </c>
      <c r="I23" s="28">
        <f t="shared" si="4"/>
        <v>23.1</v>
      </c>
      <c r="J23" s="28">
        <f t="shared" si="5"/>
        <v>11.55</v>
      </c>
      <c r="K23" s="28">
        <f t="shared" si="6"/>
        <v>12.747887323943662</v>
      </c>
      <c r="L23" s="28">
        <f t="shared" si="7"/>
        <v>6.373943661971831</v>
      </c>
    </row>
    <row r="24" spans="1:12" ht="15">
      <c r="A24">
        <v>11</v>
      </c>
      <c r="B24">
        <f>DataInputAdvanced!C89</f>
        <v>0</v>
      </c>
      <c r="C24">
        <f>DataInputAdvanced!D89</f>
        <v>0</v>
      </c>
      <c r="D24">
        <f t="shared" si="0"/>
        <v>0</v>
      </c>
      <c r="E24" s="7">
        <v>0.8309859154929579</v>
      </c>
      <c r="F24" s="28">
        <f t="shared" si="1"/>
        <v>0</v>
      </c>
      <c r="G24" s="28">
        <f t="shared" si="2"/>
        <v>0</v>
      </c>
      <c r="H24" s="28">
        <f t="shared" si="3"/>
        <v>0</v>
      </c>
      <c r="I24" s="28">
        <f t="shared" si="4"/>
        <v>0</v>
      </c>
      <c r="J24" s="28">
        <f t="shared" si="5"/>
        <v>0</v>
      </c>
      <c r="K24" s="28">
        <f t="shared" si="6"/>
        <v>0</v>
      </c>
      <c r="L24" s="28">
        <f t="shared" si="7"/>
        <v>0</v>
      </c>
    </row>
    <row r="25" spans="1:12" ht="15">
      <c r="A25" t="s">
        <v>201</v>
      </c>
      <c r="B25">
        <f>SUM(B14:B24)</f>
        <v>72</v>
      </c>
      <c r="C25">
        <f>SUM(C14:C24)</f>
        <v>38</v>
      </c>
      <c r="E25" s="9">
        <f>AVERAGE(E14:E24)</f>
        <v>0.9865556978233037</v>
      </c>
      <c r="F25" s="28">
        <f>SUM(F14:F24)</f>
        <v>540.1310641627545</v>
      </c>
      <c r="G25" s="28">
        <f>SUM(G14:G24)</f>
        <v>285.59370109546165</v>
      </c>
      <c r="H25" s="28">
        <f t="shared" si="3"/>
        <v>254.5373630672928</v>
      </c>
      <c r="I25" s="28">
        <f>SUM(I14:I24)</f>
        <v>831.6000000000001</v>
      </c>
      <c r="J25" s="28">
        <f>SUM(J14:J24)</f>
        <v>438.9000000000001</v>
      </c>
      <c r="K25" s="28">
        <f>SUM(K14:K24)</f>
        <v>291.46893583724574</v>
      </c>
      <c r="L25" s="28">
        <f>SUM(L14:L24)</f>
        <v>153.3062989045384</v>
      </c>
    </row>
    <row r="26" spans="1:3" ht="15">
      <c r="A26" t="s">
        <v>202</v>
      </c>
      <c r="B26">
        <f>DataInputAdvanced!C67</f>
        <v>3</v>
      </c>
      <c r="C26">
        <f>DataInputAdvanced!D67</f>
        <v>1</v>
      </c>
    </row>
    <row r="27" spans="1:10" ht="15">
      <c r="A27" s="12" t="s">
        <v>64</v>
      </c>
      <c r="B27" s="12" t="s">
        <v>65</v>
      </c>
      <c r="C27" s="12" t="s">
        <v>66</v>
      </c>
      <c r="D27" s="12" t="s">
        <v>67</v>
      </c>
      <c r="E27" s="12" t="s">
        <v>68</v>
      </c>
      <c r="F27" s="12" t="s">
        <v>69</v>
      </c>
      <c r="G27" s="18" t="s">
        <v>84</v>
      </c>
      <c r="I27" s="20" t="s">
        <v>84</v>
      </c>
      <c r="J27" s="20" t="s">
        <v>85</v>
      </c>
    </row>
    <row r="28" spans="1:15" ht="15">
      <c r="A28" s="13">
        <v>1</v>
      </c>
      <c r="B28" s="14" t="s">
        <v>70</v>
      </c>
      <c r="C28" s="13">
        <v>4</v>
      </c>
      <c r="D28" s="13">
        <v>48</v>
      </c>
      <c r="E28" s="13">
        <v>12</v>
      </c>
      <c r="F28" s="13">
        <v>3</v>
      </c>
      <c r="G28">
        <f>(((F28-1)*E28+D28)/24)+0.5</f>
        <v>3.5</v>
      </c>
      <c r="I28">
        <f>IF(B59=1,G28,IF(B59=2,G29,IF(B59=3,G30,IF(B59=4,G31,IF(B59=5,G32,IF(B59=6,G33,IF(B59=7,G34,L28)))))))</f>
        <v>5</v>
      </c>
      <c r="J28">
        <f>IF(I63=0,I28,I28*CMTreatProd1PercentBas)</f>
        <v>2.5</v>
      </c>
      <c r="L28">
        <f>IF(B59=8,G35,IF(B59=9,G36,IF(B59=10,G37,IF(B59=11,G38,IF(B59=12,G39,IF(B59=13,G40,IF(B59=14,G41,M28)))))))</f>
        <v>0</v>
      </c>
      <c r="M28">
        <f>IF(B59=15,G42,IF(B59=16,G43,IF(B59=17,G44,IF(B59=18,G45,IF(B59=19,G46,IF(B59=20,G47,IF(B59=21,G48,N28)))))))</f>
        <v>0</v>
      </c>
      <c r="N28">
        <f>IF(B59=22,G49,IF(B59=23,G50,IF(B59=24,G51,IF(B59=25,G52,IF(B59=26,G53,IF(B59=27,G54,O28))))))</f>
        <v>0</v>
      </c>
      <c r="O28">
        <f>IF(B59=28,G55,0)</f>
        <v>0</v>
      </c>
    </row>
    <row r="29" spans="1:7" ht="15">
      <c r="A29" s="13">
        <v>2</v>
      </c>
      <c r="B29" s="14" t="s">
        <v>80</v>
      </c>
      <c r="C29" s="17">
        <v>7</v>
      </c>
      <c r="D29" s="13">
        <v>84</v>
      </c>
      <c r="E29" s="13">
        <v>12</v>
      </c>
      <c r="F29" s="16">
        <v>3</v>
      </c>
      <c r="G29">
        <f aca="true" t="shared" si="8" ref="G29:G50">(((F29-1)*E29+D29)/24)+0.5</f>
        <v>5</v>
      </c>
    </row>
    <row r="30" spans="1:7" ht="15">
      <c r="A30" s="13">
        <v>3</v>
      </c>
      <c r="B30" s="14" t="s">
        <v>71</v>
      </c>
      <c r="C30" s="16"/>
      <c r="D30" s="13">
        <v>96</v>
      </c>
      <c r="E30" s="13">
        <v>24</v>
      </c>
      <c r="F30" s="13">
        <v>3</v>
      </c>
      <c r="G30">
        <f t="shared" si="8"/>
        <v>6.5</v>
      </c>
    </row>
    <row r="31" spans="1:7" ht="15">
      <c r="A31" s="13">
        <v>4</v>
      </c>
      <c r="B31" s="14" t="s">
        <v>72</v>
      </c>
      <c r="C31" s="17">
        <v>8</v>
      </c>
      <c r="D31" s="13">
        <v>96</v>
      </c>
      <c r="E31" s="13">
        <v>12</v>
      </c>
      <c r="F31" s="13">
        <v>3</v>
      </c>
      <c r="G31">
        <f t="shared" si="8"/>
        <v>5.5</v>
      </c>
    </row>
    <row r="32" spans="1:7" ht="15">
      <c r="A32" s="13">
        <v>5</v>
      </c>
      <c r="B32" s="34" t="s">
        <v>182</v>
      </c>
      <c r="C32" s="17">
        <v>8</v>
      </c>
      <c r="D32" s="13">
        <v>96</v>
      </c>
      <c r="E32" s="13">
        <v>12</v>
      </c>
      <c r="F32" s="13">
        <v>6</v>
      </c>
      <c r="G32" s="26">
        <f t="shared" si="8"/>
        <v>7</v>
      </c>
    </row>
    <row r="33" spans="1:7" ht="15">
      <c r="A33" s="13">
        <v>6</v>
      </c>
      <c r="B33" s="14" t="s">
        <v>81</v>
      </c>
      <c r="C33" s="17">
        <v>3</v>
      </c>
      <c r="D33" s="13">
        <v>36</v>
      </c>
      <c r="E33" s="13">
        <v>12</v>
      </c>
      <c r="F33" s="16">
        <v>3</v>
      </c>
      <c r="G33">
        <f t="shared" si="8"/>
        <v>3</v>
      </c>
    </row>
    <row r="34" spans="1:7" ht="15">
      <c r="A34" s="13">
        <v>7</v>
      </c>
      <c r="B34" s="14" t="s">
        <v>110</v>
      </c>
      <c r="C34" s="13">
        <v>6</v>
      </c>
      <c r="D34" s="13">
        <v>72</v>
      </c>
      <c r="E34" s="13">
        <v>12</v>
      </c>
      <c r="F34" s="16">
        <v>3</v>
      </c>
      <c r="G34">
        <f t="shared" si="8"/>
        <v>4.5</v>
      </c>
    </row>
    <row r="35" spans="1:7" ht="15">
      <c r="A35" s="13">
        <v>8</v>
      </c>
      <c r="B35" s="34" t="s">
        <v>183</v>
      </c>
      <c r="C35" s="35">
        <v>7</v>
      </c>
      <c r="D35" s="13">
        <v>84</v>
      </c>
      <c r="E35" s="13">
        <v>12</v>
      </c>
      <c r="F35" s="16">
        <v>6</v>
      </c>
      <c r="G35">
        <f t="shared" si="8"/>
        <v>6.5</v>
      </c>
    </row>
    <row r="36" spans="1:7" ht="15">
      <c r="A36" s="13">
        <v>9</v>
      </c>
      <c r="B36" s="14" t="s">
        <v>76</v>
      </c>
      <c r="C36" s="17">
        <v>5</v>
      </c>
      <c r="D36" s="13">
        <v>60</v>
      </c>
      <c r="E36" s="13">
        <v>12</v>
      </c>
      <c r="F36" s="16">
        <v>3</v>
      </c>
      <c r="G36">
        <f t="shared" si="8"/>
        <v>4</v>
      </c>
    </row>
    <row r="37" spans="1:7" ht="15">
      <c r="A37" s="13">
        <v>10</v>
      </c>
      <c r="B37" s="34" t="s">
        <v>180</v>
      </c>
      <c r="C37" s="17">
        <v>4</v>
      </c>
      <c r="D37" s="13">
        <v>96</v>
      </c>
      <c r="E37" s="13">
        <v>24</v>
      </c>
      <c r="F37" s="16">
        <v>3</v>
      </c>
      <c r="G37">
        <f t="shared" si="8"/>
        <v>6.5</v>
      </c>
    </row>
    <row r="38" spans="1:7" ht="15">
      <c r="A38" s="13">
        <v>11</v>
      </c>
      <c r="B38" s="14" t="s">
        <v>108</v>
      </c>
      <c r="C38" s="16"/>
      <c r="D38" s="13">
        <v>48</v>
      </c>
      <c r="E38" s="13">
        <v>24</v>
      </c>
      <c r="F38" s="13">
        <v>2</v>
      </c>
      <c r="G38">
        <f t="shared" si="8"/>
        <v>3.5</v>
      </c>
    </row>
    <row r="39" spans="1:7" ht="15">
      <c r="A39" s="13">
        <v>12</v>
      </c>
      <c r="B39" s="14" t="s">
        <v>107</v>
      </c>
      <c r="C39" s="16"/>
      <c r="D39" s="13">
        <v>48</v>
      </c>
      <c r="E39" s="13">
        <v>24</v>
      </c>
      <c r="F39" s="13">
        <v>3</v>
      </c>
      <c r="G39">
        <f t="shared" si="8"/>
        <v>4.5</v>
      </c>
    </row>
    <row r="40" spans="1:7" ht="15">
      <c r="A40" s="13">
        <v>13</v>
      </c>
      <c r="B40" s="14" t="s">
        <v>73</v>
      </c>
      <c r="C40" s="13">
        <v>8</v>
      </c>
      <c r="D40" s="13">
        <v>96</v>
      </c>
      <c r="E40" s="13">
        <v>24</v>
      </c>
      <c r="F40" s="13">
        <v>3</v>
      </c>
      <c r="G40">
        <f t="shared" si="8"/>
        <v>6.5</v>
      </c>
    </row>
    <row r="41" spans="1:7" ht="15">
      <c r="A41" s="13">
        <v>14</v>
      </c>
      <c r="B41" s="14" t="s">
        <v>77</v>
      </c>
      <c r="C41" s="17">
        <v>11</v>
      </c>
      <c r="D41" s="13">
        <v>132</v>
      </c>
      <c r="E41" s="13">
        <v>0</v>
      </c>
      <c r="F41" s="15">
        <v>1</v>
      </c>
      <c r="G41">
        <f t="shared" si="8"/>
        <v>6</v>
      </c>
    </row>
    <row r="42" spans="1:7" ht="15">
      <c r="A42" s="13">
        <v>15</v>
      </c>
      <c r="B42" s="14" t="s">
        <v>111</v>
      </c>
      <c r="C42" s="13">
        <v>7</v>
      </c>
      <c r="D42" s="13">
        <v>84</v>
      </c>
      <c r="E42" s="13">
        <v>12</v>
      </c>
      <c r="F42" s="15">
        <v>3</v>
      </c>
      <c r="G42">
        <f t="shared" si="8"/>
        <v>5</v>
      </c>
    </row>
    <row r="43" spans="1:7" ht="15">
      <c r="A43" s="13">
        <v>16</v>
      </c>
      <c r="B43" s="34" t="s">
        <v>184</v>
      </c>
      <c r="C43" s="13">
        <v>11</v>
      </c>
      <c r="D43" s="13">
        <v>132</v>
      </c>
      <c r="E43" s="13">
        <v>12</v>
      </c>
      <c r="F43" s="15">
        <v>6</v>
      </c>
      <c r="G43" s="26">
        <f t="shared" si="8"/>
        <v>8.5</v>
      </c>
    </row>
    <row r="44" spans="1:7" ht="15">
      <c r="A44" s="13">
        <v>17</v>
      </c>
      <c r="B44" s="14" t="s">
        <v>112</v>
      </c>
      <c r="C44" s="16">
        <v>4</v>
      </c>
      <c r="D44" s="13">
        <v>48</v>
      </c>
      <c r="E44" s="13">
        <v>12</v>
      </c>
      <c r="F44" s="17">
        <v>3</v>
      </c>
      <c r="G44">
        <f t="shared" si="8"/>
        <v>3.5</v>
      </c>
    </row>
    <row r="45" spans="1:7" ht="15">
      <c r="A45" s="13">
        <v>18</v>
      </c>
      <c r="B45" s="14" t="s">
        <v>113</v>
      </c>
      <c r="C45" s="13">
        <v>7</v>
      </c>
      <c r="D45" s="13">
        <v>84</v>
      </c>
      <c r="E45" s="13">
        <v>48</v>
      </c>
      <c r="F45" s="17">
        <v>3</v>
      </c>
      <c r="G45">
        <f t="shared" si="8"/>
        <v>8</v>
      </c>
    </row>
    <row r="46" spans="1:7" ht="15">
      <c r="A46" s="13">
        <v>19</v>
      </c>
      <c r="B46" s="14" t="s">
        <v>109</v>
      </c>
      <c r="C46" s="13">
        <v>7</v>
      </c>
      <c r="D46" s="13">
        <v>84</v>
      </c>
      <c r="E46" s="13">
        <v>48</v>
      </c>
      <c r="F46" s="17">
        <v>3</v>
      </c>
      <c r="G46">
        <f t="shared" si="8"/>
        <v>8</v>
      </c>
    </row>
    <row r="47" spans="1:7" ht="15">
      <c r="A47" s="13">
        <v>20</v>
      </c>
      <c r="B47" s="34" t="s">
        <v>181</v>
      </c>
      <c r="C47" s="13">
        <v>3</v>
      </c>
      <c r="D47" s="13">
        <v>72</v>
      </c>
      <c r="E47" s="13">
        <v>48</v>
      </c>
      <c r="F47" s="17">
        <v>3</v>
      </c>
      <c r="G47">
        <f t="shared" si="8"/>
        <v>7.5</v>
      </c>
    </row>
    <row r="48" spans="1:7" ht="15">
      <c r="A48" s="13">
        <v>21</v>
      </c>
      <c r="B48" s="14" t="s">
        <v>82</v>
      </c>
      <c r="C48" s="13">
        <v>9</v>
      </c>
      <c r="D48" s="13">
        <v>108</v>
      </c>
      <c r="E48" s="13">
        <v>12</v>
      </c>
      <c r="F48" s="15">
        <v>3</v>
      </c>
      <c r="G48">
        <f t="shared" si="8"/>
        <v>6</v>
      </c>
    </row>
    <row r="49" spans="1:7" ht="15">
      <c r="A49" s="13">
        <v>22</v>
      </c>
      <c r="B49" s="14" t="s">
        <v>114</v>
      </c>
      <c r="C49" s="13">
        <v>5</v>
      </c>
      <c r="D49" s="13">
        <v>48</v>
      </c>
      <c r="E49" s="13">
        <v>24</v>
      </c>
      <c r="F49" s="15">
        <v>2</v>
      </c>
      <c r="G49">
        <f t="shared" si="8"/>
        <v>3.5</v>
      </c>
    </row>
    <row r="50" spans="1:7" ht="15">
      <c r="A50" s="13">
        <v>23</v>
      </c>
      <c r="B50" s="14" t="s">
        <v>83</v>
      </c>
      <c r="C50" s="17">
        <v>4</v>
      </c>
      <c r="D50" s="13">
        <v>48</v>
      </c>
      <c r="E50" s="13">
        <v>12</v>
      </c>
      <c r="F50" s="15">
        <v>3</v>
      </c>
      <c r="G50">
        <f t="shared" si="8"/>
        <v>3.5</v>
      </c>
    </row>
    <row r="51" spans="1:7" ht="15">
      <c r="A51" s="13">
        <v>24</v>
      </c>
      <c r="B51" s="14" t="s">
        <v>75</v>
      </c>
      <c r="C51" s="13">
        <v>4</v>
      </c>
      <c r="D51" s="13">
        <v>48</v>
      </c>
      <c r="E51" s="13">
        <v>12</v>
      </c>
      <c r="F51" s="15">
        <v>3</v>
      </c>
      <c r="G51">
        <f>(((F51-1)*E51+D51)/24)+0.5</f>
        <v>3.5</v>
      </c>
    </row>
    <row r="52" spans="1:7" ht="15">
      <c r="A52" s="13">
        <v>25</v>
      </c>
      <c r="B52" s="34" t="s">
        <v>185</v>
      </c>
      <c r="C52" s="13">
        <v>6</v>
      </c>
      <c r="D52" s="13">
        <v>72</v>
      </c>
      <c r="E52" s="13">
        <v>12</v>
      </c>
      <c r="F52" s="15">
        <v>6</v>
      </c>
      <c r="G52">
        <f>(((F52-1)*E52+D52)/24)+0.5</f>
        <v>6</v>
      </c>
    </row>
    <row r="53" spans="1:7" ht="15">
      <c r="A53" s="13">
        <v>26</v>
      </c>
      <c r="B53" s="14" t="s">
        <v>74</v>
      </c>
      <c r="C53" s="16"/>
      <c r="D53" s="13">
        <v>72</v>
      </c>
      <c r="E53" s="13">
        <v>24</v>
      </c>
      <c r="F53" s="15">
        <v>3</v>
      </c>
      <c r="G53">
        <f>(((F53-1)*E53+D53)/24)+0.5</f>
        <v>5.5</v>
      </c>
    </row>
    <row r="54" spans="1:7" ht="15">
      <c r="A54" s="13">
        <v>27</v>
      </c>
      <c r="B54" s="14" t="s">
        <v>78</v>
      </c>
      <c r="C54" s="13">
        <v>6</v>
      </c>
      <c r="D54" s="13">
        <v>72</v>
      </c>
      <c r="E54" s="13">
        <v>24</v>
      </c>
      <c r="F54" s="15">
        <v>3</v>
      </c>
      <c r="G54">
        <f>(((F54-1)*E54+D54)/24)+0.5</f>
        <v>5.5</v>
      </c>
    </row>
    <row r="55" spans="1:7" ht="15">
      <c r="A55" s="13">
        <v>28</v>
      </c>
      <c r="B55" s="14" t="s">
        <v>79</v>
      </c>
      <c r="C55" s="16"/>
      <c r="D55" s="13">
        <v>72</v>
      </c>
      <c r="E55" s="13">
        <v>24</v>
      </c>
      <c r="F55" s="15">
        <v>3</v>
      </c>
      <c r="G55">
        <f>(((F55-1)*E55+D55)/24)+0.5</f>
        <v>5.5</v>
      </c>
    </row>
    <row r="56" ht="15">
      <c r="A56" s="13"/>
    </row>
    <row r="57" spans="1:6" ht="15">
      <c r="A57" s="13"/>
      <c r="B57" s="14"/>
      <c r="C57" s="13"/>
      <c r="D57" s="13"/>
      <c r="E57" s="13"/>
      <c r="F57" s="15"/>
    </row>
    <row r="59" ht="15">
      <c r="B59" s="29">
        <v>2</v>
      </c>
    </row>
    <row r="60" ht="15">
      <c r="B60" s="29" t="str">
        <f>INDEX(B28:B55,B59)</f>
        <v>Cloxagel 200 MC</v>
      </c>
    </row>
    <row r="62" spans="1:10" ht="15">
      <c r="A62" s="12" t="s">
        <v>64</v>
      </c>
      <c r="B62" s="12" t="s">
        <v>65</v>
      </c>
      <c r="C62" s="12" t="s">
        <v>66</v>
      </c>
      <c r="D62" s="12" t="s">
        <v>67</v>
      </c>
      <c r="E62" s="12" t="s">
        <v>68</v>
      </c>
      <c r="F62" s="12" t="s">
        <v>69</v>
      </c>
      <c r="G62" s="18" t="s">
        <v>84</v>
      </c>
      <c r="I62" s="20" t="s">
        <v>84</v>
      </c>
      <c r="J62" s="20" t="s">
        <v>85</v>
      </c>
    </row>
    <row r="63" spans="1:15" ht="15">
      <c r="A63" s="13">
        <v>1</v>
      </c>
      <c r="B63" s="14" t="s">
        <v>70</v>
      </c>
      <c r="C63" s="13">
        <v>4</v>
      </c>
      <c r="D63" s="13">
        <v>48</v>
      </c>
      <c r="E63" s="13">
        <v>12</v>
      </c>
      <c r="F63" s="13">
        <v>3</v>
      </c>
      <c r="G63">
        <f>(((F63-1)*E63+D63)/24)+0.5</f>
        <v>3.5</v>
      </c>
      <c r="I63">
        <f>IF(B94=1,G63,IF(B94=2,G64,IF(B94=3,G65,IF(B94=4,G66,IF(B94=5,G67,IF(B94=6,G68,IF(B94=7,G69,L63)))))))</f>
        <v>5.5</v>
      </c>
      <c r="J63">
        <f>I63*CMTreatProd2PercentInt</f>
        <v>2.75</v>
      </c>
      <c r="L63">
        <f>IF(B94=8,G70,IF(B94=9,G71,IF(B94=10,G72,IF(B94=11,G73,IF(B94=12,G74,IF(B94=13,G75,IF(B94=14,G76,M63)))))))</f>
        <v>5.5</v>
      </c>
      <c r="M63">
        <f>IF(B94=15,G77,IF(B94=16,G78,IF(B94=17,G79,IF(B94=18,G80,IF(B94=19,G81,IF(B94=20,G82,IF(B94=21,G83,N63)))))))</f>
        <v>5.5</v>
      </c>
      <c r="N63">
        <f>IF(B94=22,G84,IF(B94=23,G85,IF(B94=24,G86,IF(B94=25,G87,IF(B94=26,G88,IF(B94=27,G89,O63))))))</f>
        <v>5.5</v>
      </c>
      <c r="O63">
        <f>IF(B94=28,G90,0)</f>
        <v>0</v>
      </c>
    </row>
    <row r="64" spans="1:7" ht="15">
      <c r="A64" s="13">
        <v>2</v>
      </c>
      <c r="B64" s="14" t="s">
        <v>80</v>
      </c>
      <c r="C64" s="17">
        <v>7</v>
      </c>
      <c r="D64" s="13">
        <v>84</v>
      </c>
      <c r="E64" s="13">
        <v>12</v>
      </c>
      <c r="F64" s="16">
        <v>3</v>
      </c>
      <c r="G64">
        <f aca="true" t="shared" si="9" ref="G64:G85">(((F64-1)*E64+D64)/24)+0.5</f>
        <v>5</v>
      </c>
    </row>
    <row r="65" spans="1:7" ht="15">
      <c r="A65" s="13">
        <v>3</v>
      </c>
      <c r="B65" s="14" t="s">
        <v>71</v>
      </c>
      <c r="C65" s="16"/>
      <c r="D65" s="13">
        <v>96</v>
      </c>
      <c r="E65" s="13">
        <v>24</v>
      </c>
      <c r="F65" s="13">
        <v>3</v>
      </c>
      <c r="G65">
        <f t="shared" si="9"/>
        <v>6.5</v>
      </c>
    </row>
    <row r="66" spans="1:7" ht="15">
      <c r="A66" s="13">
        <v>4</v>
      </c>
      <c r="B66" s="14" t="s">
        <v>72</v>
      </c>
      <c r="C66" s="17">
        <v>8</v>
      </c>
      <c r="D66" s="13">
        <v>96</v>
      </c>
      <c r="E66" s="13">
        <v>12</v>
      </c>
      <c r="F66" s="13">
        <v>3</v>
      </c>
      <c r="G66">
        <f t="shared" si="9"/>
        <v>5.5</v>
      </c>
    </row>
    <row r="67" spans="1:7" ht="15">
      <c r="A67" s="13">
        <v>5</v>
      </c>
      <c r="B67" s="34" t="s">
        <v>182</v>
      </c>
      <c r="C67" s="17">
        <v>8</v>
      </c>
      <c r="D67" s="13">
        <v>96</v>
      </c>
      <c r="E67" s="13">
        <v>12</v>
      </c>
      <c r="F67" s="13">
        <v>6</v>
      </c>
      <c r="G67" s="26">
        <f t="shared" si="9"/>
        <v>7</v>
      </c>
    </row>
    <row r="68" spans="1:7" ht="15">
      <c r="A68" s="13">
        <v>6</v>
      </c>
      <c r="B68" s="14" t="s">
        <v>81</v>
      </c>
      <c r="C68" s="17">
        <v>3</v>
      </c>
      <c r="D68" s="13">
        <v>36</v>
      </c>
      <c r="E68" s="13">
        <v>12</v>
      </c>
      <c r="F68" s="16">
        <v>3</v>
      </c>
      <c r="G68">
        <f t="shared" si="9"/>
        <v>3</v>
      </c>
    </row>
    <row r="69" spans="1:7" ht="15">
      <c r="A69" s="13">
        <v>7</v>
      </c>
      <c r="B69" s="14" t="s">
        <v>110</v>
      </c>
      <c r="C69" s="13">
        <v>6</v>
      </c>
      <c r="D69" s="13">
        <v>72</v>
      </c>
      <c r="E69" s="13">
        <v>12</v>
      </c>
      <c r="F69" s="16">
        <v>3</v>
      </c>
      <c r="G69">
        <f t="shared" si="9"/>
        <v>4.5</v>
      </c>
    </row>
    <row r="70" spans="1:7" ht="15">
      <c r="A70" s="13">
        <v>8</v>
      </c>
      <c r="B70" s="34" t="s">
        <v>183</v>
      </c>
      <c r="C70" s="35">
        <v>7</v>
      </c>
      <c r="D70" s="13">
        <v>84</v>
      </c>
      <c r="E70" s="13">
        <v>12</v>
      </c>
      <c r="F70" s="16">
        <v>6</v>
      </c>
      <c r="G70">
        <f t="shared" si="9"/>
        <v>6.5</v>
      </c>
    </row>
    <row r="71" spans="1:7" ht="15">
      <c r="A71" s="13">
        <v>9</v>
      </c>
      <c r="B71" s="14" t="s">
        <v>76</v>
      </c>
      <c r="C71" s="17">
        <v>5</v>
      </c>
      <c r="D71" s="13">
        <v>60</v>
      </c>
      <c r="E71" s="13">
        <v>12</v>
      </c>
      <c r="F71" s="16">
        <v>3</v>
      </c>
      <c r="G71">
        <f t="shared" si="9"/>
        <v>4</v>
      </c>
    </row>
    <row r="72" spans="1:7" ht="15">
      <c r="A72" s="13">
        <v>10</v>
      </c>
      <c r="B72" s="34" t="s">
        <v>180</v>
      </c>
      <c r="C72" s="17">
        <v>4</v>
      </c>
      <c r="D72" s="13">
        <v>96</v>
      </c>
      <c r="E72" s="13">
        <v>24</v>
      </c>
      <c r="F72" s="16">
        <v>3</v>
      </c>
      <c r="G72">
        <f t="shared" si="9"/>
        <v>6.5</v>
      </c>
    </row>
    <row r="73" spans="1:7" ht="15">
      <c r="A73" s="13">
        <v>11</v>
      </c>
      <c r="B73" s="14" t="s">
        <v>108</v>
      </c>
      <c r="C73" s="16"/>
      <c r="D73" s="13">
        <v>48</v>
      </c>
      <c r="E73" s="13">
        <v>24</v>
      </c>
      <c r="F73" s="13">
        <v>2</v>
      </c>
      <c r="G73">
        <f t="shared" si="9"/>
        <v>3.5</v>
      </c>
    </row>
    <row r="74" spans="1:7" ht="15">
      <c r="A74" s="13">
        <v>12</v>
      </c>
      <c r="B74" s="14" t="s">
        <v>107</v>
      </c>
      <c r="C74" s="16"/>
      <c r="D74" s="13">
        <v>48</v>
      </c>
      <c r="E74" s="13">
        <v>24</v>
      </c>
      <c r="F74" s="13">
        <v>3</v>
      </c>
      <c r="G74">
        <f t="shared" si="9"/>
        <v>4.5</v>
      </c>
    </row>
    <row r="75" spans="1:7" ht="15">
      <c r="A75" s="13">
        <v>13</v>
      </c>
      <c r="B75" s="14" t="s">
        <v>73</v>
      </c>
      <c r="C75" s="13">
        <v>8</v>
      </c>
      <c r="D75" s="13">
        <v>96</v>
      </c>
      <c r="E75" s="13">
        <v>24</v>
      </c>
      <c r="F75" s="13">
        <v>3</v>
      </c>
      <c r="G75">
        <f t="shared" si="9"/>
        <v>6.5</v>
      </c>
    </row>
    <row r="76" spans="1:7" ht="15">
      <c r="A76" s="13">
        <v>14</v>
      </c>
      <c r="B76" s="14" t="s">
        <v>77</v>
      </c>
      <c r="C76" s="17">
        <v>11</v>
      </c>
      <c r="D76" s="13">
        <v>132</v>
      </c>
      <c r="E76" s="13">
        <v>0</v>
      </c>
      <c r="F76" s="15">
        <v>1</v>
      </c>
      <c r="G76">
        <f t="shared" si="9"/>
        <v>6</v>
      </c>
    </row>
    <row r="77" spans="1:7" ht="15">
      <c r="A77" s="13">
        <v>15</v>
      </c>
      <c r="B77" s="14" t="s">
        <v>111</v>
      </c>
      <c r="C77" s="13">
        <v>7</v>
      </c>
      <c r="D77" s="13">
        <v>84</v>
      </c>
      <c r="E77" s="13">
        <v>12</v>
      </c>
      <c r="F77" s="15">
        <v>3</v>
      </c>
      <c r="G77">
        <f t="shared" si="9"/>
        <v>5</v>
      </c>
    </row>
    <row r="78" spans="1:7" ht="15">
      <c r="A78" s="13">
        <v>16</v>
      </c>
      <c r="B78" s="34" t="s">
        <v>184</v>
      </c>
      <c r="C78" s="13">
        <v>11</v>
      </c>
      <c r="D78" s="13">
        <v>132</v>
      </c>
      <c r="E78" s="13">
        <v>12</v>
      </c>
      <c r="F78" s="15">
        <v>6</v>
      </c>
      <c r="G78" s="26">
        <f t="shared" si="9"/>
        <v>8.5</v>
      </c>
    </row>
    <row r="79" spans="1:7" ht="15">
      <c r="A79" s="13">
        <v>17</v>
      </c>
      <c r="B79" s="14" t="s">
        <v>112</v>
      </c>
      <c r="C79" s="16">
        <v>4</v>
      </c>
      <c r="D79" s="13">
        <v>48</v>
      </c>
      <c r="E79" s="13">
        <v>12</v>
      </c>
      <c r="F79" s="17">
        <v>3</v>
      </c>
      <c r="G79">
        <f t="shared" si="9"/>
        <v>3.5</v>
      </c>
    </row>
    <row r="80" spans="1:7" ht="15">
      <c r="A80" s="13">
        <v>18</v>
      </c>
      <c r="B80" s="14" t="s">
        <v>113</v>
      </c>
      <c r="C80" s="13">
        <v>7</v>
      </c>
      <c r="D80" s="13">
        <v>84</v>
      </c>
      <c r="E80" s="13">
        <v>48</v>
      </c>
      <c r="F80" s="17">
        <v>3</v>
      </c>
      <c r="G80">
        <f t="shared" si="9"/>
        <v>8</v>
      </c>
    </row>
    <row r="81" spans="1:7" ht="15">
      <c r="A81" s="13">
        <v>19</v>
      </c>
      <c r="B81" s="14" t="s">
        <v>109</v>
      </c>
      <c r="C81" s="13">
        <v>7</v>
      </c>
      <c r="D81" s="13">
        <v>84</v>
      </c>
      <c r="E81" s="13">
        <v>48</v>
      </c>
      <c r="F81" s="17">
        <v>3</v>
      </c>
      <c r="G81">
        <f t="shared" si="9"/>
        <v>8</v>
      </c>
    </row>
    <row r="82" spans="1:7" ht="15">
      <c r="A82" s="13">
        <v>20</v>
      </c>
      <c r="B82" s="34" t="s">
        <v>181</v>
      </c>
      <c r="C82" s="13">
        <v>3</v>
      </c>
      <c r="D82" s="13">
        <v>72</v>
      </c>
      <c r="E82" s="13">
        <v>48</v>
      </c>
      <c r="F82" s="17">
        <v>3</v>
      </c>
      <c r="G82">
        <f t="shared" si="9"/>
        <v>7.5</v>
      </c>
    </row>
    <row r="83" spans="1:7" ht="15">
      <c r="A83" s="13">
        <v>21</v>
      </c>
      <c r="B83" s="14" t="s">
        <v>82</v>
      </c>
      <c r="C83" s="13">
        <v>9</v>
      </c>
      <c r="D83" s="13">
        <v>108</v>
      </c>
      <c r="E83" s="13">
        <v>12</v>
      </c>
      <c r="F83" s="15">
        <v>3</v>
      </c>
      <c r="G83">
        <f t="shared" si="9"/>
        <v>6</v>
      </c>
    </row>
    <row r="84" spans="1:7" ht="15">
      <c r="A84" s="13">
        <v>22</v>
      </c>
      <c r="B84" s="14" t="s">
        <v>114</v>
      </c>
      <c r="C84" s="13">
        <v>5</v>
      </c>
      <c r="D84" s="13">
        <v>48</v>
      </c>
      <c r="E84" s="13">
        <v>24</v>
      </c>
      <c r="F84" s="15">
        <v>2</v>
      </c>
      <c r="G84">
        <f t="shared" si="9"/>
        <v>3.5</v>
      </c>
    </row>
    <row r="85" spans="1:7" ht="15">
      <c r="A85" s="13">
        <v>23</v>
      </c>
      <c r="B85" s="14" t="s">
        <v>83</v>
      </c>
      <c r="C85" s="17">
        <v>4</v>
      </c>
      <c r="D85" s="13">
        <v>48</v>
      </c>
      <c r="E85" s="13">
        <v>12</v>
      </c>
      <c r="F85" s="15">
        <v>3</v>
      </c>
      <c r="G85">
        <f t="shared" si="9"/>
        <v>3.5</v>
      </c>
    </row>
    <row r="86" spans="1:7" ht="15">
      <c r="A86" s="13">
        <v>24</v>
      </c>
      <c r="B86" s="14" t="s">
        <v>75</v>
      </c>
      <c r="C86" s="13">
        <v>4</v>
      </c>
      <c r="D86" s="13">
        <v>48</v>
      </c>
      <c r="E86" s="13">
        <v>12</v>
      </c>
      <c r="F86" s="15">
        <v>3</v>
      </c>
      <c r="G86">
        <f>(((F86-1)*E86+D86)/24)+0.5</f>
        <v>3.5</v>
      </c>
    </row>
    <row r="87" spans="1:7" ht="15">
      <c r="A87" s="13">
        <v>25</v>
      </c>
      <c r="B87" s="34" t="s">
        <v>185</v>
      </c>
      <c r="C87" s="13">
        <v>6</v>
      </c>
      <c r="D87" s="13">
        <v>72</v>
      </c>
      <c r="E87" s="13">
        <v>12</v>
      </c>
      <c r="F87" s="15">
        <v>6</v>
      </c>
      <c r="G87">
        <f>(((F87-1)*E87+D87)/24)+0.5</f>
        <v>6</v>
      </c>
    </row>
    <row r="88" spans="1:7" ht="15">
      <c r="A88" s="13">
        <v>26</v>
      </c>
      <c r="B88" s="14" t="s">
        <v>74</v>
      </c>
      <c r="C88" s="16"/>
      <c r="D88" s="13">
        <v>72</v>
      </c>
      <c r="E88" s="13">
        <v>24</v>
      </c>
      <c r="F88" s="15">
        <v>3</v>
      </c>
      <c r="G88">
        <f>(((F88-1)*E88+D88)/24)+0.5</f>
        <v>5.5</v>
      </c>
    </row>
    <row r="89" spans="1:7" ht="15">
      <c r="A89" s="13">
        <v>27</v>
      </c>
      <c r="B89" s="14" t="s">
        <v>78</v>
      </c>
      <c r="C89" s="13">
        <v>6</v>
      </c>
      <c r="D89" s="13">
        <v>72</v>
      </c>
      <c r="E89" s="13">
        <v>24</v>
      </c>
      <c r="F89" s="15">
        <v>3</v>
      </c>
      <c r="G89">
        <f>(((F89-1)*E89+D89)/24)+0.5</f>
        <v>5.5</v>
      </c>
    </row>
    <row r="90" spans="1:7" ht="15">
      <c r="A90" s="13">
        <v>28</v>
      </c>
      <c r="B90" s="14" t="s">
        <v>79</v>
      </c>
      <c r="C90" s="16"/>
      <c r="D90" s="13">
        <v>72</v>
      </c>
      <c r="E90" s="13">
        <v>24</v>
      </c>
      <c r="F90" s="15">
        <v>3</v>
      </c>
      <c r="G90">
        <f>(((F90-1)*E90+D90)/24)+0.5</f>
        <v>5.5</v>
      </c>
    </row>
    <row r="91" spans="1:6" ht="15">
      <c r="A91" s="19">
        <v>29</v>
      </c>
      <c r="B91" s="37" t="s">
        <v>60</v>
      </c>
      <c r="C91" s="35"/>
      <c r="D91" s="35"/>
      <c r="E91" s="35"/>
      <c r="F91" s="15"/>
    </row>
    <row r="92" spans="1:6" ht="15">
      <c r="A92" s="19"/>
      <c r="B92" s="36"/>
      <c r="C92" s="35"/>
      <c r="D92" s="35"/>
      <c r="E92" s="35"/>
      <c r="F92" s="15"/>
    </row>
    <row r="93" ht="15">
      <c r="A93" s="19"/>
    </row>
    <row r="94" ht="15">
      <c r="B94" s="29">
        <v>26</v>
      </c>
    </row>
    <row r="95" ht="15">
      <c r="B95" s="29" t="str">
        <f>INDEX(B63:B91,B94)</f>
        <v>Tylan 200</v>
      </c>
    </row>
    <row r="96" spans="8:10" ht="15">
      <c r="H96" t="s">
        <v>86</v>
      </c>
      <c r="J96">
        <f>IF(J63=0,J28,J28+J63)</f>
        <v>5.25</v>
      </c>
    </row>
    <row r="97" spans="1:2" ht="15">
      <c r="A97" t="s">
        <v>150</v>
      </c>
      <c r="B97" t="s">
        <v>148</v>
      </c>
    </row>
    <row r="98" ht="15">
      <c r="B98" t="s">
        <v>149</v>
      </c>
    </row>
    <row r="100" ht="15">
      <c r="B100" s="29">
        <v>1</v>
      </c>
    </row>
    <row r="101" ht="15">
      <c r="B101" s="29" t="str">
        <f>INDEX(B97:B98,B100)</f>
        <v>No</v>
      </c>
    </row>
    <row r="102" ht="15">
      <c r="B102" s="29"/>
    </row>
    <row r="103" spans="1:2" ht="45">
      <c r="A103" s="1" t="s">
        <v>177</v>
      </c>
      <c r="B103" s="29" t="s">
        <v>178</v>
      </c>
    </row>
    <row r="104" ht="15">
      <c r="B104" s="29" t="s">
        <v>179</v>
      </c>
    </row>
    <row r="105" ht="15">
      <c r="B105" s="29"/>
    </row>
    <row r="106" ht="15">
      <c r="B106" s="29">
        <v>1</v>
      </c>
    </row>
    <row r="107" ht="15">
      <c r="B107" s="29" t="str">
        <f>INDEX(B103:B104,B106)</f>
        <v>Fed to calves</v>
      </c>
    </row>
    <row r="109" spans="1:2" ht="15">
      <c r="A109" t="s">
        <v>151</v>
      </c>
      <c r="B109" s="41">
        <f>MSPercentDiscardedMilk</f>
        <v>0.09</v>
      </c>
    </row>
    <row r="110" spans="1:2" ht="15">
      <c r="A110" t="s">
        <v>152</v>
      </c>
      <c r="B110" s="8">
        <f>ABMilkValueAdv*(1/MSPercentDiscardedMilk)</f>
        <v>1.6666666666666665</v>
      </c>
    </row>
    <row r="112" spans="1:2" ht="30">
      <c r="A112" s="1" t="s">
        <v>104</v>
      </c>
      <c r="B112" s="50">
        <f>ProdLossClin</f>
        <v>0.033</v>
      </c>
    </row>
    <row r="113" spans="1:2" ht="15">
      <c r="A113" t="s">
        <v>89</v>
      </c>
      <c r="B113" s="4">
        <f>TimePerCaseCM</f>
        <v>0.25</v>
      </c>
    </row>
    <row r="114" ht="15">
      <c r="B114" s="4"/>
    </row>
    <row r="115" spans="1:2" ht="45">
      <c r="A115" s="1" t="s">
        <v>135</v>
      </c>
      <c r="B115" s="39">
        <f>CullRiskCM</f>
        <v>0.032</v>
      </c>
    </row>
    <row r="116" spans="1:2" ht="15">
      <c r="A116" s="1"/>
      <c r="B116" s="21"/>
    </row>
    <row r="117" spans="1:3" ht="30">
      <c r="A117" s="25" t="s">
        <v>100</v>
      </c>
      <c r="B117" t="s">
        <v>92</v>
      </c>
      <c r="C117" t="s">
        <v>56</v>
      </c>
    </row>
    <row r="118" spans="1:3" ht="30">
      <c r="A118" s="1" t="s">
        <v>103</v>
      </c>
      <c r="B118">
        <f>FLOOR(CullRiskCM*CMMilkingCurrentAdv,1)</f>
        <v>2</v>
      </c>
      <c r="C118">
        <f>FLOOR(CullRiskCM*CMMilkingTargetAdv,1)</f>
        <v>1</v>
      </c>
    </row>
    <row r="119" spans="1:3" ht="15">
      <c r="A119" t="s">
        <v>102</v>
      </c>
      <c r="B119" s="7">
        <f>HeiferProdDiff</f>
        <v>0.19</v>
      </c>
      <c r="C119" s="7">
        <f>HeiferProdDiff</f>
        <v>0.19</v>
      </c>
    </row>
    <row r="120" spans="1:3" ht="15">
      <c r="A120" s="22" t="s">
        <v>99</v>
      </c>
      <c r="B120" s="8">
        <f>B118*HeiferProdDiff*B10*Payout</f>
        <v>864.5</v>
      </c>
      <c r="C120" s="8">
        <f>C118*HeiferProdDiff*C10*Payout</f>
        <v>432.25</v>
      </c>
    </row>
    <row r="121" spans="1:3" ht="15">
      <c r="A121" t="s">
        <v>105</v>
      </c>
      <c r="B121" s="31">
        <f>B118*(ReplacementCost-CullValue)</f>
        <v>1800</v>
      </c>
      <c r="C121" s="31">
        <f>C118*(ReplacementCost-CullValue)</f>
        <v>900</v>
      </c>
    </row>
    <row r="122" spans="1:3" ht="15">
      <c r="A122" t="s">
        <v>106</v>
      </c>
      <c r="B122" s="11">
        <f>B120+B121</f>
        <v>2664.5</v>
      </c>
      <c r="C122" s="11">
        <f>C120+C121</f>
        <v>1332.25</v>
      </c>
    </row>
    <row r="123" spans="2:3" ht="15">
      <c r="B123" s="11"/>
      <c r="C123" s="11"/>
    </row>
    <row r="124" spans="1:2" ht="15">
      <c r="A124" t="s">
        <v>213</v>
      </c>
      <c r="B124" t="s">
        <v>212</v>
      </c>
    </row>
    <row r="125" spans="1:2" ht="15">
      <c r="A125">
        <v>1</v>
      </c>
      <c r="B125" t="s">
        <v>214</v>
      </c>
    </row>
    <row r="126" spans="1:2" ht="15">
      <c r="A126">
        <v>2</v>
      </c>
      <c r="B126" t="s">
        <v>215</v>
      </c>
    </row>
    <row r="127" spans="1:2" ht="15">
      <c r="A127">
        <v>3</v>
      </c>
      <c r="B127" t="s">
        <v>216</v>
      </c>
    </row>
    <row r="128" spans="1:2" ht="15">
      <c r="A128">
        <v>4</v>
      </c>
      <c r="B128" t="s">
        <v>217</v>
      </c>
    </row>
    <row r="129" spans="1:2" ht="15">
      <c r="A129">
        <v>5</v>
      </c>
      <c r="B129" t="s">
        <v>218</v>
      </c>
    </row>
    <row r="130" spans="1:2" ht="15">
      <c r="A130">
        <v>6</v>
      </c>
      <c r="B130" t="s">
        <v>219</v>
      </c>
    </row>
    <row r="131" spans="1:2" ht="15">
      <c r="A131">
        <v>7</v>
      </c>
      <c r="B131" t="s">
        <v>220</v>
      </c>
    </row>
    <row r="132" spans="1:2" ht="15">
      <c r="A132">
        <v>8</v>
      </c>
      <c r="B132" t="s">
        <v>221</v>
      </c>
    </row>
    <row r="133" spans="1:2" ht="15">
      <c r="A133">
        <v>9</v>
      </c>
      <c r="B133" t="s">
        <v>222</v>
      </c>
    </row>
    <row r="134" spans="1:2" ht="15">
      <c r="A134">
        <v>10</v>
      </c>
      <c r="B134" t="s">
        <v>223</v>
      </c>
    </row>
    <row r="135" spans="1:2" ht="15">
      <c r="A135">
        <v>11</v>
      </c>
      <c r="B135" t="s">
        <v>224</v>
      </c>
    </row>
    <row r="136" spans="1:2" ht="15">
      <c r="A136">
        <v>12</v>
      </c>
      <c r="B136" t="s">
        <v>225</v>
      </c>
    </row>
    <row r="137" spans="1:2" ht="15">
      <c r="A137">
        <v>13</v>
      </c>
      <c r="B137" t="s">
        <v>214</v>
      </c>
    </row>
    <row r="138" spans="1:2" ht="15">
      <c r="A138">
        <v>14</v>
      </c>
      <c r="B138" t="s">
        <v>215</v>
      </c>
    </row>
    <row r="139" spans="1:2" ht="15">
      <c r="A139">
        <v>15</v>
      </c>
      <c r="B139" t="s">
        <v>216</v>
      </c>
    </row>
    <row r="140" spans="1:2" ht="15">
      <c r="A140">
        <v>16</v>
      </c>
      <c r="B140" t="s">
        <v>217</v>
      </c>
    </row>
    <row r="141" spans="1:2" ht="15">
      <c r="A141">
        <v>17</v>
      </c>
      <c r="B141" t="s">
        <v>218</v>
      </c>
    </row>
    <row r="142" spans="1:2" ht="15">
      <c r="A142">
        <v>18</v>
      </c>
      <c r="B142" t="s">
        <v>219</v>
      </c>
    </row>
    <row r="143" spans="1:2" ht="15">
      <c r="A143">
        <v>19</v>
      </c>
      <c r="B143" t="s">
        <v>220</v>
      </c>
    </row>
    <row r="144" spans="1:2" ht="15">
      <c r="A144">
        <v>20</v>
      </c>
      <c r="B144" t="s">
        <v>221</v>
      </c>
    </row>
    <row r="145" spans="1:2" ht="15">
      <c r="A145">
        <v>21</v>
      </c>
      <c r="B145" t="s">
        <v>222</v>
      </c>
    </row>
    <row r="146" spans="1:2" ht="15">
      <c r="A146">
        <v>22</v>
      </c>
      <c r="B146" t="s">
        <v>223</v>
      </c>
    </row>
    <row r="147" spans="1:2" ht="15">
      <c r="A147">
        <v>23</v>
      </c>
      <c r="B147" t="s">
        <v>224</v>
      </c>
    </row>
    <row r="148" spans="1:2" ht="15">
      <c r="A148">
        <v>24</v>
      </c>
      <c r="B148" t="s">
        <v>225</v>
      </c>
    </row>
    <row r="151" ht="15">
      <c r="B151" s="29">
        <v>7</v>
      </c>
    </row>
    <row r="152" ht="15">
      <c r="B152" s="246" t="str">
        <f>INDEX(B125:B148,B151)</f>
        <v>Jul</v>
      </c>
    </row>
  </sheetData>
  <sheetProtection password="8B19" sheet="1" selectLockedCells="1" selectUnlockedCells="1"/>
  <printOp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dimension ref="A2:C17"/>
  <sheetViews>
    <sheetView zoomScalePageLayoutView="0" workbookViewId="0" topLeftCell="A1">
      <selection activeCell="A1" sqref="A1"/>
    </sheetView>
  </sheetViews>
  <sheetFormatPr defaultColWidth="8.8515625" defaultRowHeight="15"/>
  <cols>
    <col min="1" max="1" width="51.421875" style="0" bestFit="1" customWidth="1"/>
    <col min="2" max="2" width="11.421875" style="0" bestFit="1" customWidth="1"/>
    <col min="3" max="3" width="12.00390625" style="0" customWidth="1"/>
  </cols>
  <sheetData>
    <row r="2" spans="2:3" ht="15">
      <c r="B2" t="s">
        <v>92</v>
      </c>
      <c r="C2" t="s">
        <v>56</v>
      </c>
    </row>
    <row r="3" ht="15">
      <c r="A3" s="23" t="s">
        <v>96</v>
      </c>
    </row>
    <row r="4" spans="1:3" ht="15">
      <c r="A4" s="22" t="s">
        <v>203</v>
      </c>
      <c r="B4">
        <f>CullMastNumCurrentBas</f>
        <v>10</v>
      </c>
      <c r="C4">
        <f>CullMastNumTargetBas</f>
        <v>5</v>
      </c>
    </row>
    <row r="5" spans="1:3" ht="15">
      <c r="A5" s="22" t="s">
        <v>90</v>
      </c>
      <c r="B5">
        <v>0</v>
      </c>
      <c r="C5">
        <v>0</v>
      </c>
    </row>
    <row r="6" spans="1:3" ht="15">
      <c r="A6" s="22" t="s">
        <v>130</v>
      </c>
      <c r="B6" s="40">
        <f>ProdLateLactAve</f>
        <v>0.8</v>
      </c>
      <c r="C6" s="9">
        <f>ProdLateLactAve</f>
        <v>0.8</v>
      </c>
    </row>
    <row r="7" spans="1:3" ht="15">
      <c r="A7" s="22" t="s">
        <v>99</v>
      </c>
      <c r="B7" s="8">
        <f>B4*B5*B6*(30.5*ProdDailyMSCurrentBas)*Payout</f>
        <v>0</v>
      </c>
      <c r="C7" s="8">
        <f>C4*C5*C6*(30.5*ProdDailyMSTargetBas)*Payout</f>
        <v>0</v>
      </c>
    </row>
    <row r="8" ht="15">
      <c r="A8" s="23" t="s">
        <v>62</v>
      </c>
    </row>
    <row r="9" spans="1:3" ht="15">
      <c r="A9" s="22" t="s">
        <v>203</v>
      </c>
      <c r="B9">
        <f>CullMastNumCurrentBas</f>
        <v>10</v>
      </c>
      <c r="C9">
        <f>CullMastNumTargetBas</f>
        <v>5</v>
      </c>
    </row>
    <row r="10" spans="1:3" ht="15">
      <c r="A10" t="s">
        <v>90</v>
      </c>
      <c r="B10">
        <f>B5</f>
        <v>0</v>
      </c>
      <c r="C10">
        <f>C5</f>
        <v>0</v>
      </c>
    </row>
    <row r="11" spans="1:3" ht="15">
      <c r="A11" t="s">
        <v>93</v>
      </c>
      <c r="B11" s="4">
        <f>DMIntakeAnnual</f>
        <v>4.9</v>
      </c>
      <c r="C11">
        <f>DMIntakeAnnual</f>
        <v>4.9</v>
      </c>
    </row>
    <row r="12" spans="1:3" ht="15">
      <c r="A12" t="s">
        <v>91</v>
      </c>
      <c r="B12" s="52">
        <f>FeedCostTonneDM</f>
        <v>150</v>
      </c>
      <c r="C12">
        <f>FeedCostTonneDM</f>
        <v>150</v>
      </c>
    </row>
    <row r="13" spans="1:3" ht="15">
      <c r="A13" t="s">
        <v>94</v>
      </c>
      <c r="B13" s="11">
        <f>-B9*(B10/12)*$B$11*$B$12</f>
        <v>0</v>
      </c>
      <c r="C13" s="11">
        <f>-C9*(C10/12)*$B$11*$B$12</f>
        <v>0</v>
      </c>
    </row>
    <row r="14" ht="30">
      <c r="A14" s="25" t="s">
        <v>100</v>
      </c>
    </row>
    <row r="15" spans="1:3" ht="15">
      <c r="A15" t="s">
        <v>204</v>
      </c>
      <c r="B15">
        <f>CullMastNumCurrentBas+DiedMastNumCurrentBas</f>
        <v>12</v>
      </c>
      <c r="C15">
        <f>CullMastNumTargetBas+DiedMastNumTargetBas</f>
        <v>6</v>
      </c>
    </row>
    <row r="16" spans="1:3" ht="15">
      <c r="A16" t="s">
        <v>102</v>
      </c>
      <c r="B16" s="7">
        <f>HeiferProdDiff</f>
        <v>0.19</v>
      </c>
      <c r="C16" s="7">
        <f>HeiferProdDiff</f>
        <v>0.19</v>
      </c>
    </row>
    <row r="17" spans="1:3" ht="15">
      <c r="A17" s="22" t="s">
        <v>99</v>
      </c>
      <c r="B17" s="11">
        <f>B15*B16*ProdDailyMSCurrentBas*LactDaysAve*Payout</f>
        <v>5187</v>
      </c>
      <c r="C17" s="11">
        <f>C15*C16*ProdDailyMSTargetBas*LactDaysAve*Payout</f>
        <v>2593.5</v>
      </c>
    </row>
  </sheetData>
  <sheetProtection password="8B19" sheet="1" selectLockedCells="1" selectUnlockedCells="1"/>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C17"/>
  <sheetViews>
    <sheetView zoomScalePageLayoutView="0" workbookViewId="0" topLeftCell="A1">
      <selection activeCell="A1" sqref="A1"/>
    </sheetView>
  </sheetViews>
  <sheetFormatPr defaultColWidth="8.8515625" defaultRowHeight="15"/>
  <cols>
    <col min="1" max="1" width="51.421875" style="0" bestFit="1" customWidth="1"/>
    <col min="2" max="2" width="11.421875" style="0" bestFit="1" customWidth="1"/>
    <col min="3" max="3" width="12.00390625" style="0" customWidth="1"/>
  </cols>
  <sheetData>
    <row r="2" spans="2:3" ht="15">
      <c r="B2" t="s">
        <v>92</v>
      </c>
      <c r="C2" t="s">
        <v>56</v>
      </c>
    </row>
    <row r="3" ht="15">
      <c r="A3" s="23" t="s">
        <v>96</v>
      </c>
    </row>
    <row r="4" spans="1:3" ht="15">
      <c r="A4" s="22" t="s">
        <v>203</v>
      </c>
      <c r="B4">
        <f>CullMastNumCurrentInt</f>
        <v>10</v>
      </c>
      <c r="C4">
        <f>CullMastNumTargetInt</f>
        <v>5</v>
      </c>
    </row>
    <row r="5" spans="1:3" ht="15">
      <c r="A5" s="22" t="s">
        <v>90</v>
      </c>
      <c r="B5">
        <f>CullEarlyMonthsCurrentInt</f>
        <v>0</v>
      </c>
      <c r="C5">
        <f>CullEarlyMonthsTargetInt</f>
        <v>0</v>
      </c>
    </row>
    <row r="6" spans="1:3" ht="15">
      <c r="A6" s="22" t="s">
        <v>130</v>
      </c>
      <c r="B6" s="40">
        <f>ProdLateLactAve</f>
        <v>0.8</v>
      </c>
      <c r="C6" s="9">
        <f>ProdLateLactAve</f>
        <v>0.8</v>
      </c>
    </row>
    <row r="7" spans="1:3" ht="15">
      <c r="A7" s="22" t="s">
        <v>99</v>
      </c>
      <c r="B7" s="8">
        <f>B4*B5*B6*(30.5*ProdDailyMSCurrentBas)*Payout</f>
        <v>0</v>
      </c>
      <c r="C7" s="8">
        <f>C4*C5*C6*(30.5*ProdDailyMSTargetBas)*Payout</f>
        <v>0</v>
      </c>
    </row>
    <row r="8" ht="15">
      <c r="A8" s="23" t="s">
        <v>62</v>
      </c>
    </row>
    <row r="9" spans="1:3" ht="15">
      <c r="A9" s="22" t="s">
        <v>203</v>
      </c>
      <c r="B9">
        <f>CullMastNumCurrentInt</f>
        <v>10</v>
      </c>
      <c r="C9">
        <f>CullMastNumTargetInt</f>
        <v>5</v>
      </c>
    </row>
    <row r="10" spans="1:3" ht="15">
      <c r="A10" t="s">
        <v>90</v>
      </c>
      <c r="B10">
        <f>CullEarlyMonthsCurrentInt</f>
        <v>0</v>
      </c>
      <c r="C10">
        <f>CullEarlyMonthsTargetInt</f>
        <v>0</v>
      </c>
    </row>
    <row r="11" spans="1:3" ht="15">
      <c r="A11" t="s">
        <v>93</v>
      </c>
      <c r="B11" s="4">
        <f>DMIntakeAnnual</f>
        <v>4.9</v>
      </c>
      <c r="C11">
        <f>DMIntakeAnnual</f>
        <v>4.9</v>
      </c>
    </row>
    <row r="12" spans="1:3" ht="15">
      <c r="A12" t="s">
        <v>91</v>
      </c>
      <c r="B12" s="52">
        <f>FeedCostTonneDM</f>
        <v>150</v>
      </c>
      <c r="C12">
        <f>FeedCostTonneDM</f>
        <v>150</v>
      </c>
    </row>
    <row r="13" spans="1:3" ht="15">
      <c r="A13" t="s">
        <v>94</v>
      </c>
      <c r="B13" s="11">
        <f>-B9*(B10/12)*$B$11*$B$12</f>
        <v>0</v>
      </c>
      <c r="C13" s="11">
        <f>-C9*(C10/12)*$B$11*$B$12</f>
        <v>0</v>
      </c>
    </row>
    <row r="14" ht="30">
      <c r="A14" s="25" t="s">
        <v>100</v>
      </c>
    </row>
    <row r="15" spans="1:3" ht="15">
      <c r="A15" t="s">
        <v>204</v>
      </c>
      <c r="B15">
        <f>CullMastNumCurrentInt+DiedMastNumCurrentInt</f>
        <v>12</v>
      </c>
      <c r="C15">
        <f>CullMastNumTargetInt+DiedMastNumTargetInt</f>
        <v>6</v>
      </c>
    </row>
    <row r="16" spans="1:3" ht="15">
      <c r="A16" t="s">
        <v>102</v>
      </c>
      <c r="B16" s="7">
        <f>HeiferProdDiff</f>
        <v>0.19</v>
      </c>
      <c r="C16" s="7">
        <f>HeiferProdDiff</f>
        <v>0.19</v>
      </c>
    </row>
    <row r="17" spans="1:3" ht="15">
      <c r="A17" s="22" t="s">
        <v>99</v>
      </c>
      <c r="B17" s="11">
        <f>B15*B16*ProdDailyMSCurrentBas*LactDaysAve*Payout</f>
        <v>5187</v>
      </c>
      <c r="C17" s="11">
        <f>C15*C16*ProdDailyMSTargetBas*LactDaysAve*Payout</f>
        <v>2593.5</v>
      </c>
    </row>
  </sheetData>
  <sheetProtection password="8B19" sheet="1" selectLockedCells="1" selectUnlockedCells="1"/>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C17"/>
  <sheetViews>
    <sheetView zoomScalePageLayoutView="0" workbookViewId="0" topLeftCell="A1">
      <selection activeCell="A1" sqref="A1"/>
    </sheetView>
  </sheetViews>
  <sheetFormatPr defaultColWidth="8.8515625" defaultRowHeight="15"/>
  <cols>
    <col min="1" max="1" width="51.421875" style="0" bestFit="1" customWidth="1"/>
    <col min="2" max="2" width="11.421875" style="0" bestFit="1" customWidth="1"/>
    <col min="3" max="3" width="12.00390625" style="0" customWidth="1"/>
  </cols>
  <sheetData>
    <row r="2" spans="2:3" ht="15">
      <c r="B2" t="s">
        <v>92</v>
      </c>
      <c r="C2" t="s">
        <v>56</v>
      </c>
    </row>
    <row r="3" ht="15">
      <c r="A3" s="23" t="s">
        <v>96</v>
      </c>
    </row>
    <row r="4" spans="1:3" ht="15">
      <c r="A4" s="22" t="s">
        <v>95</v>
      </c>
      <c r="B4">
        <f>CullMastNumCurrentAdv</f>
        <v>10</v>
      </c>
      <c r="C4">
        <f>CullMastNumTargetAdv</f>
        <v>5</v>
      </c>
    </row>
    <row r="5" spans="1:3" ht="15">
      <c r="A5" s="22" t="s">
        <v>90</v>
      </c>
      <c r="B5">
        <f>CullEarlyMonthsCurrentAdv</f>
        <v>2</v>
      </c>
      <c r="C5">
        <f>CullEarlyMonthsTargetAdv</f>
        <v>1</v>
      </c>
    </row>
    <row r="6" spans="1:3" ht="15">
      <c r="A6" s="22" t="s">
        <v>130</v>
      </c>
      <c r="B6" s="40">
        <f>ProdLateLactAve</f>
        <v>0.8</v>
      </c>
      <c r="C6" s="9">
        <f>ProdLateLactAve</f>
        <v>0.8</v>
      </c>
    </row>
    <row r="7" spans="1:3" ht="15">
      <c r="A7" s="22" t="s">
        <v>99</v>
      </c>
      <c r="B7" s="8">
        <f>B4*B5*B6*(30.5*ProdDailyMSCurrentBas)*Payout</f>
        <v>4111.851851851852</v>
      </c>
      <c r="C7" s="8">
        <f>C4*C5*C6*(30.5*ProdDailyMSTargetBas)*Payout</f>
        <v>1027.962962962963</v>
      </c>
    </row>
    <row r="8" ht="15">
      <c r="A8" s="23" t="s">
        <v>62</v>
      </c>
    </row>
    <row r="9" spans="1:3" ht="15">
      <c r="A9" s="22" t="s">
        <v>95</v>
      </c>
      <c r="B9">
        <f>CullMastNumCurrentAdv</f>
        <v>10</v>
      </c>
      <c r="C9">
        <f>CullMastNumTargetAdv</f>
        <v>5</v>
      </c>
    </row>
    <row r="10" spans="1:3" ht="15">
      <c r="A10" t="s">
        <v>90</v>
      </c>
      <c r="B10">
        <f>CullEarlyMonthsCurrentAdv</f>
        <v>2</v>
      </c>
      <c r="C10">
        <f>CullEarlyMonthsTargetAdv</f>
        <v>1</v>
      </c>
    </row>
    <row r="11" spans="1:3" ht="15">
      <c r="A11" t="s">
        <v>93</v>
      </c>
      <c r="B11" s="4">
        <f>DMIntakeAnnual</f>
        <v>4.9</v>
      </c>
      <c r="C11">
        <f>DMIntakeAnnual</f>
        <v>4.9</v>
      </c>
    </row>
    <row r="12" spans="1:3" ht="15">
      <c r="A12" t="s">
        <v>91</v>
      </c>
      <c r="B12" s="52">
        <f>FeedCostTonneDM</f>
        <v>150</v>
      </c>
      <c r="C12">
        <f>FeedCostTonneDM</f>
        <v>150</v>
      </c>
    </row>
    <row r="13" spans="1:3" ht="15">
      <c r="A13" t="s">
        <v>94</v>
      </c>
      <c r="B13" s="11">
        <f>-B9*(B10/12)*$B$11*$B$12</f>
        <v>-1225</v>
      </c>
      <c r="C13" s="11">
        <f>-C9*(C10/12)*$B$11*$B$12</f>
        <v>-306.25</v>
      </c>
    </row>
    <row r="14" ht="30">
      <c r="A14" s="25" t="s">
        <v>100</v>
      </c>
    </row>
    <row r="15" spans="1:3" ht="15">
      <c r="A15" t="s">
        <v>101</v>
      </c>
      <c r="B15">
        <f>CullMastNumCurrentAdv+DiedMastNumCurrentAdv</f>
        <v>12</v>
      </c>
      <c r="C15">
        <f>CullMastNumTargetAdv+DiedMastNumTargetAdv</f>
        <v>6</v>
      </c>
    </row>
    <row r="16" spans="1:3" ht="15">
      <c r="A16" t="s">
        <v>102</v>
      </c>
      <c r="B16" s="7">
        <f>HeiferProdDiff</f>
        <v>0.19</v>
      </c>
      <c r="C16" s="7">
        <f>HeiferProdDiff</f>
        <v>0.19</v>
      </c>
    </row>
    <row r="17" spans="1:3" ht="15">
      <c r="A17" s="22" t="s">
        <v>99</v>
      </c>
      <c r="B17" s="11">
        <f>B15*B16*ProdDailyMSCurrentBas*LactDaysAve*Payout</f>
        <v>5187</v>
      </c>
      <c r="C17" s="11">
        <f>C15*C16*ProdDailyMSTargetBas*LactDaysAve*Payout</f>
        <v>2593.5</v>
      </c>
    </row>
  </sheetData>
  <sheetProtection password="8B19" sheet="1" selectLockedCells="1" selectUnlockedCells="1"/>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B2:F40"/>
  <sheetViews>
    <sheetView showGridLines="0" showRowColHeaders="0" workbookViewId="0" topLeftCell="A19">
      <selection activeCell="A1" sqref="A1"/>
    </sheetView>
  </sheetViews>
  <sheetFormatPr defaultColWidth="8.8515625" defaultRowHeight="15"/>
  <cols>
    <col min="1" max="1" width="5.140625" style="0" customWidth="1"/>
    <col min="2" max="2" width="29.57421875" style="0" customWidth="1"/>
    <col min="3" max="3" width="23.7109375" style="0" customWidth="1"/>
    <col min="4" max="4" width="22.140625" style="0" customWidth="1"/>
    <col min="5" max="5" width="23.00390625" style="0" customWidth="1"/>
    <col min="6" max="6" width="13.8515625" style="0" bestFit="1" customWidth="1"/>
  </cols>
  <sheetData>
    <row r="1" ht="24.75" customHeight="1"/>
    <row r="2" spans="2:5" ht="43.5" customHeight="1">
      <c r="B2" s="300" t="s">
        <v>256</v>
      </c>
      <c r="C2" s="300"/>
      <c r="D2" s="300"/>
      <c r="E2" s="300"/>
    </row>
    <row r="3" spans="2:5" ht="21" customHeight="1">
      <c r="B3" s="198" t="s">
        <v>51</v>
      </c>
      <c r="C3" s="227" t="str">
        <f>Advisor_name</f>
        <v>My advisor</v>
      </c>
      <c r="D3" s="193"/>
      <c r="E3" s="193"/>
    </row>
    <row r="4" spans="2:5" ht="21.75" customHeight="1">
      <c r="B4" s="198" t="s">
        <v>52</v>
      </c>
      <c r="C4" s="228" t="str">
        <f>Advisor_s_business_name</f>
        <v>My advisor's business</v>
      </c>
      <c r="D4" s="193"/>
      <c r="E4" s="193"/>
    </row>
    <row r="5" spans="2:5" ht="21.75" customHeight="1">
      <c r="B5" s="198" t="s">
        <v>0</v>
      </c>
      <c r="C5" s="227" t="str">
        <f>Herd_owner</f>
        <v>My herd owner</v>
      </c>
      <c r="D5" s="193"/>
      <c r="E5" s="193"/>
    </row>
    <row r="6" spans="2:5" ht="21.75" customHeight="1">
      <c r="B6" s="198" t="s">
        <v>1</v>
      </c>
      <c r="C6" s="227" t="str">
        <f>Herd_name</f>
        <v>My herd</v>
      </c>
      <c r="D6" s="193"/>
      <c r="E6" s="193"/>
    </row>
    <row r="7" spans="2:5" ht="21.75" customHeight="1">
      <c r="B7" s="198" t="s">
        <v>115</v>
      </c>
      <c r="C7" s="301">
        <f ca="1">TODAY()</f>
        <v>40794</v>
      </c>
      <c r="D7" s="301"/>
      <c r="E7" s="193"/>
    </row>
    <row r="8" spans="2:5" ht="7.5" customHeight="1">
      <c r="B8" s="193"/>
      <c r="C8" s="193"/>
      <c r="D8" s="193"/>
      <c r="E8" s="193"/>
    </row>
    <row r="9" spans="2:6" ht="57.75" customHeight="1">
      <c r="B9" s="194"/>
      <c r="C9" s="199" t="s">
        <v>283</v>
      </c>
      <c r="D9" s="199" t="s">
        <v>196</v>
      </c>
      <c r="E9" s="199" t="s">
        <v>286</v>
      </c>
      <c r="F9" s="27"/>
    </row>
    <row r="10" spans="2:5" ht="45" customHeight="1">
      <c r="B10" s="200" t="s">
        <v>258</v>
      </c>
      <c r="C10" s="201">
        <f>BMSCCAveCurrent</f>
        <v>300</v>
      </c>
      <c r="D10" s="201">
        <f>BMSCCAveTarget</f>
        <v>150</v>
      </c>
      <c r="E10" s="201">
        <f>BMSCCAveTargetIndustry</f>
        <v>125</v>
      </c>
    </row>
    <row r="11" spans="2:5" ht="45" customHeight="1">
      <c r="B11" s="205" t="s">
        <v>259</v>
      </c>
      <c r="C11" s="202">
        <f>'DataInputBasic '!C57</f>
        <v>0.15</v>
      </c>
      <c r="D11" s="202">
        <f>'DataInputBasic '!D57</f>
        <v>0.078</v>
      </c>
      <c r="E11" s="202">
        <f>CMCaseRateTargetIndustry</f>
        <v>0.08</v>
      </c>
    </row>
    <row r="12" spans="2:5" ht="45" customHeight="1">
      <c r="B12" s="206" t="s">
        <v>260</v>
      </c>
      <c r="C12" s="202">
        <f>'DataInputBasic '!C84</f>
        <v>0.024</v>
      </c>
      <c r="D12" s="202">
        <f>'DataInputBasic '!D84</f>
        <v>0.012</v>
      </c>
      <c r="E12" s="201" t="str">
        <f>CullDeathRateMastitisIndustryTarget</f>
        <v>1-2%</v>
      </c>
    </row>
    <row r="13" spans="2:5" ht="15">
      <c r="B13" s="203"/>
      <c r="C13" s="204"/>
      <c r="D13" s="204"/>
      <c r="E13" s="204"/>
    </row>
    <row r="14" spans="2:5" ht="60" customHeight="1">
      <c r="B14" s="205" t="s">
        <v>190</v>
      </c>
      <c r="C14" s="244">
        <f>'DataInputBasic '!F93</f>
        <v>38800</v>
      </c>
      <c r="D14" s="204"/>
      <c r="E14" s="204"/>
    </row>
    <row r="15" spans="2:5" ht="15">
      <c r="B15" s="195"/>
      <c r="C15" s="193"/>
      <c r="D15" s="193"/>
      <c r="E15" s="193"/>
    </row>
    <row r="16" spans="2:5" ht="15">
      <c r="B16" s="193"/>
      <c r="C16" s="193"/>
      <c r="D16" s="193"/>
      <c r="E16" s="193"/>
    </row>
    <row r="17" spans="2:5" ht="15">
      <c r="B17" s="193"/>
      <c r="C17" s="193"/>
      <c r="D17" s="193"/>
      <c r="E17" s="193"/>
    </row>
    <row r="18" spans="2:5" ht="15">
      <c r="B18" s="193"/>
      <c r="C18" s="193"/>
      <c r="D18" s="193"/>
      <c r="E18" s="193"/>
    </row>
    <row r="19" spans="2:5" ht="15">
      <c r="B19" s="193"/>
      <c r="C19" s="193"/>
      <c r="D19" s="193"/>
      <c r="E19" s="193"/>
    </row>
    <row r="20" spans="2:5" ht="15">
      <c r="B20" s="193"/>
      <c r="C20" s="193"/>
      <c r="D20" s="193"/>
      <c r="E20" s="193"/>
    </row>
    <row r="21" spans="2:5" ht="15">
      <c r="B21" s="193"/>
      <c r="C21" s="193"/>
      <c r="D21" s="193"/>
      <c r="E21" s="193"/>
    </row>
    <row r="22" spans="2:5" ht="15">
      <c r="B22" s="193"/>
      <c r="C22" s="193"/>
      <c r="D22" s="193"/>
      <c r="E22" s="193"/>
    </row>
    <row r="23" spans="2:5" ht="15">
      <c r="B23" s="193"/>
      <c r="C23" s="193"/>
      <c r="D23" s="193"/>
      <c r="E23" s="193"/>
    </row>
    <row r="24" spans="2:5" ht="15">
      <c r="B24" s="193"/>
      <c r="C24" s="193"/>
      <c r="D24" s="193"/>
      <c r="E24" s="193"/>
    </row>
    <row r="25" spans="2:5" ht="15">
      <c r="B25" s="193"/>
      <c r="C25" s="193"/>
      <c r="D25" s="193"/>
      <c r="E25" s="193"/>
    </row>
    <row r="26" spans="2:5" ht="15">
      <c r="B26" s="193"/>
      <c r="C26" s="193"/>
      <c r="D26" s="193"/>
      <c r="E26" s="193"/>
    </row>
    <row r="27" spans="2:5" ht="15">
      <c r="B27" s="193"/>
      <c r="C27" s="193"/>
      <c r="D27" s="193"/>
      <c r="E27" s="193"/>
    </row>
    <row r="28" spans="2:5" ht="15">
      <c r="B28" s="193"/>
      <c r="C28" s="193"/>
      <c r="D28" s="193"/>
      <c r="E28" s="193"/>
    </row>
    <row r="29" spans="2:5" ht="15">
      <c r="B29" s="193"/>
      <c r="C29" s="193"/>
      <c r="D29" s="193"/>
      <c r="E29" s="193"/>
    </row>
    <row r="30" spans="2:5" ht="15">
      <c r="B30" s="193"/>
      <c r="C30" s="193"/>
      <c r="D30" s="193"/>
      <c r="E30" s="193"/>
    </row>
    <row r="31" spans="2:5" ht="15">
      <c r="B31" s="193"/>
      <c r="C31" s="193"/>
      <c r="D31" s="193"/>
      <c r="E31" s="193"/>
    </row>
    <row r="32" spans="2:5" ht="15">
      <c r="B32" s="193"/>
      <c r="C32" s="193"/>
      <c r="D32" s="193"/>
      <c r="E32" s="193"/>
    </row>
    <row r="33" spans="2:5" ht="15">
      <c r="B33" s="193"/>
      <c r="C33" s="193"/>
      <c r="D33" s="193"/>
      <c r="E33" s="193"/>
    </row>
    <row r="34" spans="2:5" ht="15">
      <c r="B34" s="193"/>
      <c r="C34" s="193"/>
      <c r="D34" s="193"/>
      <c r="E34" s="193"/>
    </row>
    <row r="35" spans="2:5" ht="15">
      <c r="B35" s="193"/>
      <c r="C35" s="193"/>
      <c r="D35" s="193"/>
      <c r="E35" s="193"/>
    </row>
    <row r="36" spans="2:5" ht="15">
      <c r="B36" s="193"/>
      <c r="C36" s="193"/>
      <c r="D36" s="193"/>
      <c r="E36" s="193"/>
    </row>
    <row r="37" spans="2:5" ht="15">
      <c r="B37" s="193"/>
      <c r="C37" s="193"/>
      <c r="D37" s="193"/>
      <c r="E37" s="193"/>
    </row>
    <row r="38" spans="2:5" ht="15">
      <c r="B38" s="193"/>
      <c r="C38" s="193"/>
      <c r="D38" s="193"/>
      <c r="E38" s="193"/>
    </row>
    <row r="39" spans="2:5" ht="15">
      <c r="B39" s="193"/>
      <c r="C39" s="193"/>
      <c r="D39" s="193"/>
      <c r="E39" s="193"/>
    </row>
    <row r="40" spans="2:5" ht="15">
      <c r="B40" s="193"/>
      <c r="C40" s="193"/>
      <c r="D40" s="193"/>
      <c r="E40" s="193"/>
    </row>
  </sheetData>
  <sheetProtection password="8B19" sheet="1" objects="1" selectLockedCells="1"/>
  <mergeCells count="2">
    <mergeCell ref="B2:E2"/>
    <mergeCell ref="C7:D7"/>
  </mergeCells>
  <printOptions/>
  <pageMargins left="0.31496062992125984" right="0.31496062992125984" top="0.5511811023622047" bottom="0.5511811023622047" header="0.15748031496062992" footer="0.15748031496062992"/>
  <pageSetup fitToHeight="1" fitToWidth="1" horizontalDpi="600" verticalDpi="600" orientation="portrait" paperSize="9" scale="90" r:id="rId2"/>
  <headerFooter>
    <oddFooter>&amp;L&amp;8Version 2.5/Aug 2011&amp;C&amp;8&amp;A
&amp;F&amp;R&amp;8Printed: &amp;D</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F40"/>
  <sheetViews>
    <sheetView showGridLines="0" showRowColHeaders="0" zoomScalePageLayoutView="0" workbookViewId="0" topLeftCell="A1">
      <selection activeCell="A1" sqref="A1"/>
    </sheetView>
  </sheetViews>
  <sheetFormatPr defaultColWidth="8.8515625" defaultRowHeight="15"/>
  <cols>
    <col min="1" max="1" width="5.140625" style="0" customWidth="1"/>
    <col min="2" max="2" width="29.57421875" style="0" customWidth="1"/>
    <col min="3" max="3" width="23.7109375" style="0" customWidth="1"/>
    <col min="4" max="4" width="22.140625" style="0" customWidth="1"/>
    <col min="5" max="5" width="23.00390625" style="0" customWidth="1"/>
    <col min="6" max="6" width="13.8515625" style="0" bestFit="1" customWidth="1"/>
  </cols>
  <sheetData>
    <row r="1" ht="24.75" customHeight="1"/>
    <row r="2" spans="2:5" ht="43.5" customHeight="1">
      <c r="B2" s="300" t="s">
        <v>256</v>
      </c>
      <c r="C2" s="300"/>
      <c r="D2" s="300"/>
      <c r="E2" s="300"/>
    </row>
    <row r="3" spans="2:5" ht="21" customHeight="1">
      <c r="B3" s="198" t="s">
        <v>51</v>
      </c>
      <c r="C3" s="227" t="str">
        <f>Advisor_name</f>
        <v>My advisor</v>
      </c>
      <c r="D3" s="193"/>
      <c r="E3" s="193"/>
    </row>
    <row r="4" spans="2:5" ht="21.75" customHeight="1">
      <c r="B4" s="198" t="s">
        <v>52</v>
      </c>
      <c r="C4" s="228" t="str">
        <f>Advisor_s_business_name</f>
        <v>My advisor's business</v>
      </c>
      <c r="D4" s="193"/>
      <c r="E4" s="193"/>
    </row>
    <row r="5" spans="2:5" ht="21.75" customHeight="1">
      <c r="B5" s="198" t="s">
        <v>0</v>
      </c>
      <c r="C5" s="227" t="str">
        <f>Herd_owner</f>
        <v>My herd owner</v>
      </c>
      <c r="D5" s="193"/>
      <c r="E5" s="193"/>
    </row>
    <row r="6" spans="2:5" ht="21.75" customHeight="1">
      <c r="B6" s="198" t="s">
        <v>1</v>
      </c>
      <c r="C6" s="227" t="str">
        <f>Herd_name</f>
        <v>My herd</v>
      </c>
      <c r="D6" s="193"/>
      <c r="E6" s="193"/>
    </row>
    <row r="7" spans="2:5" ht="21.75" customHeight="1">
      <c r="B7" s="198" t="s">
        <v>115</v>
      </c>
      <c r="C7" s="301">
        <f ca="1">TODAY()</f>
        <v>40794</v>
      </c>
      <c r="D7" s="301"/>
      <c r="E7" s="193"/>
    </row>
    <row r="8" spans="2:5" ht="7.5" customHeight="1">
      <c r="B8" s="193"/>
      <c r="C8" s="193"/>
      <c r="D8" s="193"/>
      <c r="E8" s="193"/>
    </row>
    <row r="9" spans="2:6" ht="57.75" customHeight="1">
      <c r="B9" s="194"/>
      <c r="C9" s="199" t="s">
        <v>283</v>
      </c>
      <c r="D9" s="199" t="s">
        <v>196</v>
      </c>
      <c r="E9" s="199" t="s">
        <v>286</v>
      </c>
      <c r="F9" s="27"/>
    </row>
    <row r="10" spans="2:5" ht="45" customHeight="1">
      <c r="B10" s="200" t="s">
        <v>258</v>
      </c>
      <c r="C10" s="201">
        <f>BMSCCAveCurrent</f>
        <v>300</v>
      </c>
      <c r="D10" s="201">
        <f>BMSCCAveTarget</f>
        <v>150</v>
      </c>
      <c r="E10" s="201">
        <f>BMSCCAveTargetIndustry</f>
        <v>125</v>
      </c>
    </row>
    <row r="11" spans="2:5" ht="45" customHeight="1">
      <c r="B11" s="205" t="s">
        <v>259</v>
      </c>
      <c r="C11" s="202">
        <f>'DataInputBasic '!C57</f>
        <v>0.15</v>
      </c>
      <c r="D11" s="202">
        <f>'DataInputBasic '!D57</f>
        <v>0.078</v>
      </c>
      <c r="E11" s="202">
        <f>CMCaseRateTargetIndustry</f>
        <v>0.08</v>
      </c>
    </row>
    <row r="12" spans="2:5" ht="45" customHeight="1">
      <c r="B12" s="206" t="s">
        <v>260</v>
      </c>
      <c r="C12" s="202">
        <f>'DataInputBasic '!C84</f>
        <v>0.024</v>
      </c>
      <c r="D12" s="202">
        <f>'DataInputBasic '!D84</f>
        <v>0.012</v>
      </c>
      <c r="E12" s="201" t="str">
        <f>CullDeathRateMastitisIndustryTarget</f>
        <v>1-2%</v>
      </c>
    </row>
    <row r="13" spans="2:5" ht="15">
      <c r="B13" s="203"/>
      <c r="C13" s="204"/>
      <c r="D13" s="204"/>
      <c r="E13" s="204"/>
    </row>
    <row r="14" spans="2:5" ht="60" customHeight="1">
      <c r="B14" s="205" t="s">
        <v>190</v>
      </c>
      <c r="C14" s="244">
        <f>DataInputIntermediate!F127</f>
        <v>38700</v>
      </c>
      <c r="D14" s="204"/>
      <c r="E14" s="204"/>
    </row>
    <row r="15" spans="2:5" ht="15">
      <c r="B15" s="195"/>
      <c r="C15" s="193"/>
      <c r="D15" s="193"/>
      <c r="E15" s="193"/>
    </row>
    <row r="16" spans="2:5" ht="15">
      <c r="B16" s="193"/>
      <c r="C16" s="193"/>
      <c r="D16" s="193"/>
      <c r="E16" s="193"/>
    </row>
    <row r="17" spans="2:5" ht="15">
      <c r="B17" s="193"/>
      <c r="C17" s="193"/>
      <c r="D17" s="193"/>
      <c r="E17" s="193"/>
    </row>
    <row r="18" spans="2:5" ht="15">
      <c r="B18" s="193"/>
      <c r="C18" s="193"/>
      <c r="D18" s="193"/>
      <c r="E18" s="193"/>
    </row>
    <row r="19" spans="2:5" ht="15">
      <c r="B19" s="193"/>
      <c r="C19" s="193"/>
      <c r="D19" s="193"/>
      <c r="E19" s="193"/>
    </row>
    <row r="20" spans="2:5" ht="15">
      <c r="B20" s="193"/>
      <c r="C20" s="193"/>
      <c r="D20" s="193"/>
      <c r="E20" s="193"/>
    </row>
    <row r="21" spans="2:5" ht="15">
      <c r="B21" s="193"/>
      <c r="C21" s="193"/>
      <c r="D21" s="193"/>
      <c r="E21" s="193"/>
    </row>
    <row r="22" spans="2:5" ht="15">
      <c r="B22" s="193"/>
      <c r="C22" s="193"/>
      <c r="D22" s="193"/>
      <c r="E22" s="193"/>
    </row>
    <row r="23" spans="2:5" ht="15">
      <c r="B23" s="193"/>
      <c r="C23" s="193"/>
      <c r="D23" s="193"/>
      <c r="E23" s="193"/>
    </row>
    <row r="24" spans="2:5" ht="15">
      <c r="B24" s="193"/>
      <c r="C24" s="193"/>
      <c r="D24" s="193"/>
      <c r="E24" s="193"/>
    </row>
    <row r="25" spans="2:5" ht="15">
      <c r="B25" s="193"/>
      <c r="C25" s="193"/>
      <c r="D25" s="193"/>
      <c r="E25" s="193"/>
    </row>
    <row r="26" spans="2:5" ht="15">
      <c r="B26" s="193"/>
      <c r="C26" s="193"/>
      <c r="D26" s="193"/>
      <c r="E26" s="193"/>
    </row>
    <row r="27" spans="2:5" ht="15">
      <c r="B27" s="193"/>
      <c r="C27" s="193"/>
      <c r="D27" s="193"/>
      <c r="E27" s="193"/>
    </row>
    <row r="28" spans="2:5" ht="15">
      <c r="B28" s="193"/>
      <c r="C28" s="193"/>
      <c r="D28" s="193"/>
      <c r="E28" s="193"/>
    </row>
    <row r="29" spans="2:5" ht="15">
      <c r="B29" s="193"/>
      <c r="C29" s="193"/>
      <c r="D29" s="193"/>
      <c r="E29" s="193"/>
    </row>
    <row r="30" spans="2:5" ht="15">
      <c r="B30" s="193"/>
      <c r="C30" s="193"/>
      <c r="D30" s="193"/>
      <c r="E30" s="193"/>
    </row>
    <row r="31" spans="2:5" ht="15">
      <c r="B31" s="193"/>
      <c r="C31" s="193"/>
      <c r="D31" s="193"/>
      <c r="E31" s="193"/>
    </row>
    <row r="32" spans="2:5" ht="15">
      <c r="B32" s="193"/>
      <c r="C32" s="193"/>
      <c r="D32" s="193"/>
      <c r="E32" s="193"/>
    </row>
    <row r="33" spans="2:5" ht="15">
      <c r="B33" s="193"/>
      <c r="C33" s="193"/>
      <c r="D33" s="193"/>
      <c r="E33" s="193"/>
    </row>
    <row r="34" spans="2:5" ht="15">
      <c r="B34" s="193"/>
      <c r="C34" s="193"/>
      <c r="D34" s="193"/>
      <c r="E34" s="193"/>
    </row>
    <row r="35" spans="2:5" ht="15">
      <c r="B35" s="193"/>
      <c r="C35" s="193"/>
      <c r="D35" s="193"/>
      <c r="E35" s="193"/>
    </row>
    <row r="36" spans="2:5" ht="15">
      <c r="B36" s="193"/>
      <c r="C36" s="193"/>
      <c r="D36" s="193"/>
      <c r="E36" s="193"/>
    </row>
    <row r="37" spans="2:5" ht="15">
      <c r="B37" s="193"/>
      <c r="C37" s="193"/>
      <c r="D37" s="193"/>
      <c r="E37" s="193"/>
    </row>
    <row r="38" spans="2:5" ht="15">
      <c r="B38" s="193"/>
      <c r="C38" s="193"/>
      <c r="D38" s="193"/>
      <c r="E38" s="193"/>
    </row>
    <row r="39" spans="2:5" ht="15">
      <c r="B39" s="193"/>
      <c r="C39" s="193"/>
      <c r="D39" s="193"/>
      <c r="E39" s="193"/>
    </row>
    <row r="40" spans="2:5" ht="15">
      <c r="B40" s="193"/>
      <c r="C40" s="193"/>
      <c r="D40" s="193"/>
      <c r="E40" s="193"/>
    </row>
  </sheetData>
  <sheetProtection password="8B19" sheet="1" objects="1" selectLockedCells="1"/>
  <mergeCells count="2">
    <mergeCell ref="B2:E2"/>
    <mergeCell ref="C7:D7"/>
  </mergeCells>
  <printOptions/>
  <pageMargins left="0.31496062992125984" right="0.31496062992125984" top="0.5511811023622047" bottom="0.5511811023622047" header="0.15748031496062992" footer="0.15748031496062992"/>
  <pageSetup fitToHeight="1" fitToWidth="1" horizontalDpi="600" verticalDpi="600" orientation="portrait" paperSize="9" scale="90" r:id="rId2"/>
  <headerFooter>
    <oddFooter>&amp;L&amp;8Version 2.5/Aug 2011&amp;C&amp;8&amp;A
&amp;F&amp;R&amp;8Printed: &amp;D</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B2:F40"/>
  <sheetViews>
    <sheetView showGridLines="0" showRowColHeaders="0" zoomScalePageLayoutView="0" workbookViewId="0" topLeftCell="A1">
      <selection activeCell="A1" sqref="A1"/>
    </sheetView>
  </sheetViews>
  <sheetFormatPr defaultColWidth="8.8515625" defaultRowHeight="15"/>
  <cols>
    <col min="1" max="1" width="5.140625" style="0" customWidth="1"/>
    <col min="2" max="2" width="29.57421875" style="0" customWidth="1"/>
    <col min="3" max="3" width="23.7109375" style="0" customWidth="1"/>
    <col min="4" max="4" width="22.140625" style="0" customWidth="1"/>
    <col min="5" max="5" width="23.00390625" style="0" customWidth="1"/>
    <col min="6" max="6" width="13.8515625" style="0" bestFit="1" customWidth="1"/>
  </cols>
  <sheetData>
    <row r="1" ht="24.75" customHeight="1"/>
    <row r="2" spans="2:5" ht="43.5" customHeight="1">
      <c r="B2" s="300" t="s">
        <v>256</v>
      </c>
      <c r="C2" s="300"/>
      <c r="D2" s="300"/>
      <c r="E2" s="300"/>
    </row>
    <row r="3" spans="2:5" ht="21" customHeight="1">
      <c r="B3" s="198" t="s">
        <v>51</v>
      </c>
      <c r="C3" s="227" t="str">
        <f>Advisor_name</f>
        <v>My advisor</v>
      </c>
      <c r="D3" s="193"/>
      <c r="E3" s="193"/>
    </row>
    <row r="4" spans="2:5" ht="21.75" customHeight="1">
      <c r="B4" s="198" t="s">
        <v>52</v>
      </c>
      <c r="C4" s="228" t="str">
        <f>Advisor_s_business_name</f>
        <v>My advisor's business</v>
      </c>
      <c r="D4" s="193"/>
      <c r="E4" s="193"/>
    </row>
    <row r="5" spans="2:5" ht="21.75" customHeight="1">
      <c r="B5" s="198" t="s">
        <v>0</v>
      </c>
      <c r="C5" s="227" t="str">
        <f>Herd_owner</f>
        <v>My herd owner</v>
      </c>
      <c r="D5" s="193"/>
      <c r="E5" s="193"/>
    </row>
    <row r="6" spans="2:5" ht="21.75" customHeight="1">
      <c r="B6" s="198" t="s">
        <v>1</v>
      </c>
      <c r="C6" s="227" t="str">
        <f>Herd_name</f>
        <v>My herd</v>
      </c>
      <c r="D6" s="193"/>
      <c r="E6" s="193"/>
    </row>
    <row r="7" spans="2:5" ht="21.75" customHeight="1">
      <c r="B7" s="198" t="s">
        <v>115</v>
      </c>
      <c r="C7" s="301">
        <f ca="1">TODAY()</f>
        <v>40794</v>
      </c>
      <c r="D7" s="301"/>
      <c r="E7" s="193"/>
    </row>
    <row r="8" spans="2:5" ht="7.5" customHeight="1">
      <c r="B8" s="193"/>
      <c r="C8" s="193"/>
      <c r="D8" s="193"/>
      <c r="E8" s="193"/>
    </row>
    <row r="9" spans="2:6" ht="57.75" customHeight="1">
      <c r="B9" s="194"/>
      <c r="C9" s="199" t="s">
        <v>283</v>
      </c>
      <c r="D9" s="199" t="s">
        <v>196</v>
      </c>
      <c r="E9" s="199" t="s">
        <v>286</v>
      </c>
      <c r="F9" s="27"/>
    </row>
    <row r="10" spans="2:5" ht="45" customHeight="1">
      <c r="B10" s="200" t="s">
        <v>258</v>
      </c>
      <c r="C10" s="201">
        <f>BMSCCAveCurrent</f>
        <v>300</v>
      </c>
      <c r="D10" s="201">
        <f>BMSCCAveTarget</f>
        <v>150</v>
      </c>
      <c r="E10" s="201">
        <f>BMSCCAveTargetIndustry</f>
        <v>125</v>
      </c>
    </row>
    <row r="11" spans="2:5" ht="45" customHeight="1">
      <c r="B11" s="205" t="s">
        <v>259</v>
      </c>
      <c r="C11" s="202">
        <f>'DataInputBasic '!C57</f>
        <v>0.15</v>
      </c>
      <c r="D11" s="202">
        <f>'DataInputBasic '!D57</f>
        <v>0.078</v>
      </c>
      <c r="E11" s="202">
        <f>CMCaseRateTargetIndustry</f>
        <v>0.08</v>
      </c>
    </row>
    <row r="12" spans="2:5" ht="45" customHeight="1">
      <c r="B12" s="206" t="s">
        <v>260</v>
      </c>
      <c r="C12" s="202">
        <f>'DataInputBasic '!C84</f>
        <v>0.024</v>
      </c>
      <c r="D12" s="202">
        <f>'DataInputBasic '!D84</f>
        <v>0.012</v>
      </c>
      <c r="E12" s="201" t="str">
        <f>CullDeathRateMastitisIndustryTarget</f>
        <v>1-2%</v>
      </c>
    </row>
    <row r="13" spans="2:5" ht="15">
      <c r="B13" s="203"/>
      <c r="C13" s="204"/>
      <c r="D13" s="204"/>
      <c r="E13" s="204"/>
    </row>
    <row r="14" spans="2:5" ht="60" customHeight="1">
      <c r="B14" s="205" t="s">
        <v>190</v>
      </c>
      <c r="C14" s="244">
        <f>DataInputAdvanced!F166</f>
        <v>43200</v>
      </c>
      <c r="D14" s="204"/>
      <c r="E14" s="204"/>
    </row>
    <row r="15" spans="2:5" ht="15">
      <c r="B15" s="195"/>
      <c r="C15" s="193"/>
      <c r="D15" s="193"/>
      <c r="E15" s="193"/>
    </row>
    <row r="16" spans="2:5" ht="15">
      <c r="B16" s="193"/>
      <c r="C16" s="193"/>
      <c r="D16" s="193"/>
      <c r="E16" s="193"/>
    </row>
    <row r="17" spans="2:5" ht="15">
      <c r="B17" s="193"/>
      <c r="C17" s="193"/>
      <c r="D17" s="193"/>
      <c r="E17" s="193"/>
    </row>
    <row r="18" spans="2:5" ht="15">
      <c r="B18" s="193"/>
      <c r="C18" s="193"/>
      <c r="D18" s="193"/>
      <c r="E18" s="193"/>
    </row>
    <row r="19" spans="2:5" ht="15">
      <c r="B19" s="193"/>
      <c r="C19" s="193"/>
      <c r="D19" s="193"/>
      <c r="E19" s="193"/>
    </row>
    <row r="20" spans="2:5" ht="15">
      <c r="B20" s="193"/>
      <c r="C20" s="193"/>
      <c r="D20" s="193"/>
      <c r="E20" s="193"/>
    </row>
    <row r="21" spans="2:5" ht="15">
      <c r="B21" s="193"/>
      <c r="C21" s="193"/>
      <c r="D21" s="193"/>
      <c r="E21" s="193"/>
    </row>
    <row r="22" spans="2:5" ht="15">
      <c r="B22" s="193"/>
      <c r="C22" s="193"/>
      <c r="D22" s="193"/>
      <c r="E22" s="193"/>
    </row>
    <row r="23" spans="2:5" ht="15">
      <c r="B23" s="193"/>
      <c r="C23" s="193"/>
      <c r="D23" s="193"/>
      <c r="E23" s="193"/>
    </row>
    <row r="24" spans="2:5" ht="15">
      <c r="B24" s="193"/>
      <c r="C24" s="193"/>
      <c r="D24" s="193"/>
      <c r="E24" s="193"/>
    </row>
    <row r="25" spans="2:5" ht="15">
      <c r="B25" s="193"/>
      <c r="C25" s="193"/>
      <c r="D25" s="193"/>
      <c r="E25" s="193"/>
    </row>
    <row r="26" spans="2:5" ht="15">
      <c r="B26" s="193"/>
      <c r="C26" s="193"/>
      <c r="D26" s="193"/>
      <c r="E26" s="193"/>
    </row>
    <row r="27" spans="2:5" ht="15">
      <c r="B27" s="193"/>
      <c r="C27" s="193"/>
      <c r="D27" s="193"/>
      <c r="E27" s="193"/>
    </row>
    <row r="28" spans="2:5" ht="15">
      <c r="B28" s="193"/>
      <c r="C28" s="193"/>
      <c r="D28" s="193"/>
      <c r="E28" s="193"/>
    </row>
    <row r="29" spans="2:5" ht="15">
      <c r="B29" s="193"/>
      <c r="C29" s="193"/>
      <c r="D29" s="193"/>
      <c r="E29" s="193"/>
    </row>
    <row r="30" spans="2:5" ht="15">
      <c r="B30" s="193"/>
      <c r="C30" s="193"/>
      <c r="D30" s="193"/>
      <c r="E30" s="193"/>
    </row>
    <row r="31" spans="2:5" ht="15">
      <c r="B31" s="193"/>
      <c r="C31" s="193"/>
      <c r="D31" s="193"/>
      <c r="E31" s="193"/>
    </row>
    <row r="32" spans="2:5" ht="15">
      <c r="B32" s="193"/>
      <c r="C32" s="193"/>
      <c r="D32" s="193"/>
      <c r="E32" s="193"/>
    </row>
    <row r="33" spans="2:5" ht="15">
      <c r="B33" s="193"/>
      <c r="C33" s="193"/>
      <c r="D33" s="193"/>
      <c r="E33" s="193"/>
    </row>
    <row r="34" spans="2:5" ht="15">
      <c r="B34" s="193"/>
      <c r="C34" s="193"/>
      <c r="D34" s="193"/>
      <c r="E34" s="193"/>
    </row>
    <row r="35" spans="2:5" ht="15">
      <c r="B35" s="193"/>
      <c r="C35" s="193"/>
      <c r="D35" s="193"/>
      <c r="E35" s="193"/>
    </row>
    <row r="36" spans="2:5" ht="15">
      <c r="B36" s="193"/>
      <c r="C36" s="193"/>
      <c r="D36" s="193"/>
      <c r="E36" s="193"/>
    </row>
    <row r="37" spans="2:5" ht="15">
      <c r="B37" s="193"/>
      <c r="C37" s="193"/>
      <c r="D37" s="193"/>
      <c r="E37" s="193"/>
    </row>
    <row r="38" spans="2:5" ht="15">
      <c r="B38" s="193"/>
      <c r="C38" s="193"/>
      <c r="D38" s="193"/>
      <c r="E38" s="193"/>
    </row>
    <row r="39" spans="2:5" ht="15">
      <c r="B39" s="193"/>
      <c r="C39" s="193"/>
      <c r="D39" s="193"/>
      <c r="E39" s="193"/>
    </row>
    <row r="40" spans="2:5" ht="15">
      <c r="B40" s="193"/>
      <c r="C40" s="193"/>
      <c r="D40" s="193"/>
      <c r="E40" s="193"/>
    </row>
  </sheetData>
  <sheetProtection password="8B19" sheet="1" objects="1" selectLockedCells="1"/>
  <mergeCells count="2">
    <mergeCell ref="B2:E2"/>
    <mergeCell ref="C7:D7"/>
  </mergeCells>
  <printOptions/>
  <pageMargins left="0.31496062992125984" right="0.31496062992125984" top="0.5511811023622047" bottom="0.5511811023622047" header="0.15748031496062992" footer="0.15748031496062992"/>
  <pageSetup fitToHeight="1" fitToWidth="1" horizontalDpi="600" verticalDpi="600" orientation="portrait" paperSize="9" scale="90" r:id="rId2"/>
  <headerFooter>
    <oddFooter>&amp;L&amp;8Version 2.5/Aug 2011&amp;C&amp;8&amp;A
&amp;F&amp;R&amp;8Printed: &amp;D</oddFooter>
  </headerFooter>
  <drawing r:id="rId1"/>
</worksheet>
</file>

<file path=xl/worksheets/sheet17.xml><?xml version="1.0" encoding="utf-8"?>
<worksheet xmlns="http://schemas.openxmlformats.org/spreadsheetml/2006/main" xmlns:r="http://schemas.openxmlformats.org/officeDocument/2006/relationships">
  <dimension ref="A1:B5"/>
  <sheetViews>
    <sheetView zoomScalePageLayoutView="0" workbookViewId="0" topLeftCell="A1">
      <selection activeCell="A1" sqref="A1"/>
    </sheetView>
  </sheetViews>
  <sheetFormatPr defaultColWidth="8.8515625" defaultRowHeight="15"/>
  <cols>
    <col min="1" max="1" width="51.421875" style="0" bestFit="1" customWidth="1"/>
    <col min="2" max="2" width="9.00390625" style="0" bestFit="1" customWidth="1"/>
    <col min="3" max="3" width="18.8515625" style="0" customWidth="1"/>
  </cols>
  <sheetData>
    <row r="1" ht="15">
      <c r="B1" t="s">
        <v>116</v>
      </c>
    </row>
    <row r="2" spans="1:2" ht="15">
      <c r="A2" t="str">
        <f>'DataInputBasic '!B26</f>
        <v>1. Reduced bulk milk somatic cell count (BMSCC)</v>
      </c>
      <c r="B2" s="10">
        <f>'DataInputBasic '!F35</f>
        <v>23800</v>
      </c>
    </row>
    <row r="3" spans="1:2" ht="15">
      <c r="A3" t="str">
        <f>'DataInputBasic '!B37</f>
        <v>2. Reduced clinical mastitis</v>
      </c>
      <c r="B3" s="10">
        <f>'DataInputBasic '!F73</f>
        <v>4200</v>
      </c>
    </row>
    <row r="4" spans="1:2" ht="15">
      <c r="A4" t="str">
        <f>'DataInputBasic '!B75</f>
        <v>3. Reduced culling and death directly related to mastitis</v>
      </c>
      <c r="B4" s="10">
        <f>'DataInputBasic '!F91</f>
        <v>10800</v>
      </c>
    </row>
    <row r="5" spans="1:2" ht="15">
      <c r="A5" t="s">
        <v>174</v>
      </c>
      <c r="B5" s="11">
        <f>'DataInputBasic '!F93</f>
        <v>38800</v>
      </c>
    </row>
  </sheetData>
  <sheetProtection password="8B19" sheet="1" selectLockedCells="1" selectUnlockedCells="1"/>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B5"/>
  <sheetViews>
    <sheetView zoomScalePageLayoutView="0" workbookViewId="0" topLeftCell="A1">
      <selection activeCell="A1" sqref="A1"/>
    </sheetView>
  </sheetViews>
  <sheetFormatPr defaultColWidth="8.8515625" defaultRowHeight="15"/>
  <cols>
    <col min="1" max="1" width="51.421875" style="0" bestFit="1" customWidth="1"/>
    <col min="2" max="2" width="9.00390625" style="0" bestFit="1" customWidth="1"/>
    <col min="3" max="3" width="18.8515625" style="0" customWidth="1"/>
  </cols>
  <sheetData>
    <row r="1" ht="15">
      <c r="B1" t="s">
        <v>116</v>
      </c>
    </row>
    <row r="2" spans="1:2" ht="15">
      <c r="A2" t="str">
        <f>DataInputIntermediate!B28</f>
        <v>1. Reduced bulk milk somatic cell count (BMSCC)</v>
      </c>
      <c r="B2" s="10">
        <f>DataInputIntermediate!F37</f>
        <v>23800</v>
      </c>
    </row>
    <row r="3" spans="1:2" ht="15">
      <c r="A3" t="str">
        <f>DataInputIntermediate!B39</f>
        <v>2. Reduced clinical mastitis</v>
      </c>
      <c r="B3" s="10">
        <f>DataInputIntermediate!F107</f>
        <v>4100</v>
      </c>
    </row>
    <row r="4" spans="1:2" ht="15">
      <c r="A4" t="str">
        <f>DataInputIntermediate!B109</f>
        <v>3. Reduced culling and death directly related to mastitis</v>
      </c>
      <c r="B4" s="10">
        <f>DataInputIntermediate!F125</f>
        <v>10800</v>
      </c>
    </row>
    <row r="5" spans="1:2" ht="15">
      <c r="A5" t="s">
        <v>174</v>
      </c>
      <c r="B5" s="11">
        <f>DataInputIntermediate!F127</f>
        <v>38700</v>
      </c>
    </row>
  </sheetData>
  <sheetProtection password="8B19" sheet="1" selectLockedCells="1" selectUnlockedCells="1"/>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B5"/>
  <sheetViews>
    <sheetView zoomScalePageLayoutView="0" workbookViewId="0" topLeftCell="A1">
      <selection activeCell="A1" sqref="A1"/>
    </sheetView>
  </sheetViews>
  <sheetFormatPr defaultColWidth="8.8515625" defaultRowHeight="15"/>
  <cols>
    <col min="1" max="1" width="27.7109375" style="0" customWidth="1"/>
    <col min="2" max="2" width="9.00390625" style="0" bestFit="1" customWidth="1"/>
    <col min="3" max="3" width="18.8515625" style="0" customWidth="1"/>
  </cols>
  <sheetData>
    <row r="1" ht="15">
      <c r="B1" t="s">
        <v>116</v>
      </c>
    </row>
    <row r="2" spans="1:2" ht="15">
      <c r="A2" t="str">
        <f>DataInputIntermediate!B28</f>
        <v>1. Reduced bulk milk somatic cell count (BMSCC)</v>
      </c>
      <c r="B2" s="10">
        <f>DataInputAdvanced!F47</f>
        <v>26100</v>
      </c>
    </row>
    <row r="3" spans="1:2" ht="15">
      <c r="A3" t="str">
        <f>DataInputIntermediate!B39</f>
        <v>2. Reduced clinical mastitis</v>
      </c>
      <c r="B3" s="10">
        <f>DataInputAdvanced!F137</f>
        <v>4100</v>
      </c>
    </row>
    <row r="4" spans="1:2" ht="15">
      <c r="A4" t="str">
        <f>DataInputIntermediate!B109</f>
        <v>3. Reduced culling and death directly related to mastitis</v>
      </c>
      <c r="B4" s="10">
        <f>DataInputAdvanced!F164</f>
        <v>13000</v>
      </c>
    </row>
    <row r="5" spans="1:2" ht="15">
      <c r="A5" t="s">
        <v>174</v>
      </c>
      <c r="B5" s="11">
        <f>DataInputAdvanced!F166</f>
        <v>43200</v>
      </c>
    </row>
  </sheetData>
  <sheetProtection password="8B19" sheet="1" selectLockedCells="1" selectUnlockedCell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2:AI120"/>
  <sheetViews>
    <sheetView showGridLines="0" showRowColHeaders="0" zoomScalePageLayoutView="0" workbookViewId="0" topLeftCell="A1">
      <selection activeCell="C4" sqref="C4:F4"/>
    </sheetView>
  </sheetViews>
  <sheetFormatPr defaultColWidth="8.8515625" defaultRowHeight="15"/>
  <cols>
    <col min="1" max="1" width="6.421875" style="55" customWidth="1"/>
    <col min="2" max="2" width="64.28125" style="0" customWidth="1"/>
    <col min="3" max="6" width="15.8515625" style="0" customWidth="1"/>
    <col min="7" max="8" width="8.8515625" style="55" customWidth="1"/>
    <col min="9" max="9" width="12.421875" style="55" bestFit="1" customWidth="1"/>
    <col min="10" max="27" width="8.8515625" style="55" customWidth="1"/>
  </cols>
  <sheetData>
    <row r="1" s="55" customFormat="1" ht="15"/>
    <row r="2" spans="2:12" s="55" customFormat="1" ht="79.5" customHeight="1">
      <c r="B2" s="58" t="s">
        <v>254</v>
      </c>
      <c r="D2" s="56"/>
      <c r="E2" s="196"/>
      <c r="F2" s="56"/>
      <c r="G2" s="56"/>
      <c r="H2" s="56"/>
      <c r="I2" s="56"/>
      <c r="J2" s="56"/>
      <c r="K2" s="56"/>
      <c r="L2" s="56"/>
    </row>
    <row r="3" s="55" customFormat="1" ht="15"/>
    <row r="4" spans="2:18" s="55" customFormat="1" ht="22.5" customHeight="1">
      <c r="B4" s="69" t="s">
        <v>155</v>
      </c>
      <c r="C4" s="277" t="s">
        <v>267</v>
      </c>
      <c r="D4" s="278"/>
      <c r="E4" s="278"/>
      <c r="F4" s="279"/>
      <c r="G4" s="68"/>
      <c r="H4" s="68"/>
      <c r="I4" s="68"/>
      <c r="J4" s="68"/>
      <c r="K4" s="68"/>
      <c r="L4" s="68"/>
      <c r="M4" s="68"/>
      <c r="N4" s="68"/>
      <c r="O4" s="68"/>
      <c r="P4" s="68"/>
      <c r="Q4" s="68"/>
      <c r="R4" s="68"/>
    </row>
    <row r="5" spans="2:18" s="64" customFormat="1" ht="9" customHeight="1">
      <c r="B5" s="70"/>
      <c r="C5" s="71"/>
      <c r="D5" s="71"/>
      <c r="E5" s="71"/>
      <c r="F5" s="71"/>
      <c r="G5" s="72"/>
      <c r="H5" s="72"/>
      <c r="I5" s="72"/>
      <c r="J5" s="72"/>
      <c r="K5" s="72"/>
      <c r="L5" s="72"/>
      <c r="M5" s="72"/>
      <c r="N5" s="72"/>
      <c r="O5" s="72"/>
      <c r="P5" s="72"/>
      <c r="Q5" s="72"/>
      <c r="R5" s="72"/>
    </row>
    <row r="6" spans="2:18" s="55" customFormat="1" ht="22.5" customHeight="1">
      <c r="B6" s="69" t="s">
        <v>52</v>
      </c>
      <c r="C6" s="277" t="s">
        <v>268</v>
      </c>
      <c r="D6" s="278"/>
      <c r="E6" s="278"/>
      <c r="F6" s="279"/>
      <c r="G6" s="68"/>
      <c r="H6" s="68"/>
      <c r="I6" s="68"/>
      <c r="J6" s="68"/>
      <c r="K6" s="68"/>
      <c r="L6" s="68"/>
      <c r="M6" s="68"/>
      <c r="N6" s="68"/>
      <c r="O6" s="68"/>
      <c r="P6" s="68"/>
      <c r="Q6" s="68"/>
      <c r="R6" s="68"/>
    </row>
    <row r="7" spans="1:18" s="64" customFormat="1" ht="9" customHeight="1">
      <c r="A7" s="154"/>
      <c r="B7" s="70"/>
      <c r="C7" s="71"/>
      <c r="D7" s="71"/>
      <c r="E7" s="71"/>
      <c r="F7" s="71"/>
      <c r="G7" s="72"/>
      <c r="H7" s="72"/>
      <c r="I7" s="72"/>
      <c r="J7" s="72"/>
      <c r="K7" s="72"/>
      <c r="L7" s="72"/>
      <c r="M7" s="72"/>
      <c r="N7" s="72"/>
      <c r="O7" s="72"/>
      <c r="P7" s="72"/>
      <c r="Q7" s="72"/>
      <c r="R7" s="72"/>
    </row>
    <row r="8" spans="1:18" s="55" customFormat="1" ht="22.5" customHeight="1">
      <c r="A8" s="66"/>
      <c r="B8" s="69" t="s">
        <v>153</v>
      </c>
      <c r="C8" s="280" t="s">
        <v>269</v>
      </c>
      <c r="D8" s="281"/>
      <c r="E8" s="281"/>
      <c r="F8" s="282"/>
      <c r="G8" s="68"/>
      <c r="H8" s="68"/>
      <c r="I8" s="68"/>
      <c r="J8" s="68"/>
      <c r="K8" s="68"/>
      <c r="L8" s="68"/>
      <c r="M8" s="68"/>
      <c r="N8" s="68"/>
      <c r="O8" s="68"/>
      <c r="P8" s="68"/>
      <c r="Q8" s="68"/>
      <c r="R8" s="68"/>
    </row>
    <row r="9" spans="1:18" s="64" customFormat="1" ht="9" customHeight="1">
      <c r="A9" s="154"/>
      <c r="B9" s="70"/>
      <c r="C9" s="73"/>
      <c r="D9" s="73"/>
      <c r="E9" s="73"/>
      <c r="F9" s="73"/>
      <c r="G9" s="72"/>
      <c r="H9" s="72"/>
      <c r="I9" s="72"/>
      <c r="J9" s="72"/>
      <c r="K9" s="72"/>
      <c r="L9" s="72"/>
      <c r="M9" s="72"/>
      <c r="N9" s="72"/>
      <c r="O9" s="72"/>
      <c r="P9" s="72"/>
      <c r="Q9" s="72"/>
      <c r="R9" s="72"/>
    </row>
    <row r="10" spans="1:18" s="55" customFormat="1" ht="22.5" customHeight="1">
      <c r="A10" s="66"/>
      <c r="B10" s="69" t="s">
        <v>154</v>
      </c>
      <c r="C10" s="280" t="s">
        <v>270</v>
      </c>
      <c r="D10" s="281"/>
      <c r="E10" s="281"/>
      <c r="F10" s="282"/>
      <c r="G10" s="68"/>
      <c r="H10" s="68"/>
      <c r="I10" s="68"/>
      <c r="J10" s="68"/>
      <c r="K10" s="68"/>
      <c r="L10" s="68"/>
      <c r="M10" s="68"/>
      <c r="N10" s="68"/>
      <c r="O10" s="68"/>
      <c r="P10" s="68"/>
      <c r="Q10" s="68"/>
      <c r="R10" s="68"/>
    </row>
    <row r="11" spans="1:18" s="64" customFormat="1" ht="9" customHeight="1">
      <c r="A11" s="154"/>
      <c r="B11" s="70"/>
      <c r="C11" s="73"/>
      <c r="D11" s="73"/>
      <c r="E11" s="73"/>
      <c r="F11" s="73"/>
      <c r="G11" s="72"/>
      <c r="H11" s="72"/>
      <c r="I11" s="72"/>
      <c r="J11" s="72"/>
      <c r="K11" s="72"/>
      <c r="L11" s="72"/>
      <c r="M11" s="72"/>
      <c r="N11" s="72"/>
      <c r="O11" s="72"/>
      <c r="P11" s="72"/>
      <c r="Q11" s="72"/>
      <c r="R11" s="72"/>
    </row>
    <row r="12" spans="1:18" s="55" customFormat="1" ht="22.5" customHeight="1">
      <c r="A12" s="66"/>
      <c r="B12" s="69" t="s">
        <v>282</v>
      </c>
      <c r="C12" s="283">
        <f ca="1">TODAY()</f>
        <v>40794</v>
      </c>
      <c r="D12" s="284"/>
      <c r="E12" s="284"/>
      <c r="F12" s="285"/>
      <c r="G12" s="68"/>
      <c r="H12" s="68"/>
      <c r="I12" s="68"/>
      <c r="J12" s="68"/>
      <c r="K12" s="68"/>
      <c r="L12" s="68"/>
      <c r="M12" s="68"/>
      <c r="N12" s="68"/>
      <c r="O12" s="68"/>
      <c r="P12" s="68"/>
      <c r="Q12" s="68"/>
      <c r="R12" s="68"/>
    </row>
    <row r="13" spans="1:18" s="55" customFormat="1" ht="9" customHeight="1">
      <c r="A13" s="66"/>
      <c r="B13" s="67"/>
      <c r="C13" s="286"/>
      <c r="D13" s="286"/>
      <c r="E13" s="286"/>
      <c r="F13" s="286"/>
      <c r="G13" s="68"/>
      <c r="H13" s="68"/>
      <c r="I13" s="68"/>
      <c r="J13" s="68"/>
      <c r="K13" s="68"/>
      <c r="L13" s="68"/>
      <c r="M13" s="68"/>
      <c r="N13" s="68"/>
      <c r="O13" s="68"/>
      <c r="P13" s="68"/>
      <c r="Q13" s="68"/>
      <c r="R13" s="68"/>
    </row>
    <row r="14" spans="1:18" s="55" customFormat="1" ht="22.5" customHeight="1">
      <c r="A14" s="66"/>
      <c r="B14" s="69" t="s">
        <v>296</v>
      </c>
      <c r="C14" s="287">
        <v>6.5</v>
      </c>
      <c r="D14" s="288"/>
      <c r="E14" s="288"/>
      <c r="F14" s="289"/>
      <c r="G14" s="68"/>
      <c r="H14" s="68"/>
      <c r="I14" s="68"/>
      <c r="J14" s="68"/>
      <c r="K14" s="68"/>
      <c r="L14" s="68"/>
      <c r="M14" s="68"/>
      <c r="N14" s="68"/>
      <c r="O14" s="68"/>
      <c r="P14" s="68"/>
      <c r="Q14" s="68"/>
      <c r="R14" s="68"/>
    </row>
    <row r="15" spans="1:18" s="55" customFormat="1" ht="9" customHeight="1">
      <c r="A15" s="66"/>
      <c r="B15" s="74"/>
      <c r="C15" s="75"/>
      <c r="D15" s="75"/>
      <c r="E15" s="75"/>
      <c r="F15" s="75"/>
      <c r="G15" s="76"/>
      <c r="H15" s="68"/>
      <c r="I15" s="68"/>
      <c r="J15" s="68"/>
      <c r="K15" s="68"/>
      <c r="L15" s="68"/>
      <c r="M15" s="68"/>
      <c r="N15" s="68"/>
      <c r="O15" s="68"/>
      <c r="P15" s="68"/>
      <c r="Q15" s="68"/>
      <c r="R15" s="68"/>
    </row>
    <row r="16" spans="1:35" ht="69" customHeight="1">
      <c r="A16" s="66"/>
      <c r="B16" s="97"/>
      <c r="C16" s="102" t="s">
        <v>283</v>
      </c>
      <c r="D16" s="102" t="s">
        <v>196</v>
      </c>
      <c r="E16" s="102" t="s">
        <v>284</v>
      </c>
      <c r="F16" s="112" t="s">
        <v>285</v>
      </c>
      <c r="G16" s="68"/>
      <c r="H16" s="68"/>
      <c r="I16" s="68"/>
      <c r="J16" s="68"/>
      <c r="K16" s="68"/>
      <c r="L16" s="68"/>
      <c r="M16" s="68"/>
      <c r="N16" s="68"/>
      <c r="O16" s="68"/>
      <c r="P16" s="68"/>
      <c r="Q16" s="68"/>
      <c r="R16" s="68"/>
      <c r="AB16" s="53"/>
      <c r="AC16" s="53"/>
      <c r="AD16" s="53"/>
      <c r="AE16" s="53"/>
      <c r="AF16" s="53"/>
      <c r="AG16" s="53"/>
      <c r="AH16" s="53"/>
      <c r="AI16" s="53"/>
    </row>
    <row r="17" spans="1:35" ht="15" customHeight="1" hidden="1">
      <c r="A17" s="66"/>
      <c r="B17" s="98" t="s">
        <v>3</v>
      </c>
      <c r="C17" s="99">
        <v>2009</v>
      </c>
      <c r="D17" s="99">
        <v>2011</v>
      </c>
      <c r="E17" s="100"/>
      <c r="F17" s="101"/>
      <c r="G17" s="68"/>
      <c r="H17" s="68"/>
      <c r="I17" s="68"/>
      <c r="J17" s="68"/>
      <c r="K17" s="68"/>
      <c r="L17" s="68"/>
      <c r="M17" s="68"/>
      <c r="N17" s="68"/>
      <c r="O17" s="68"/>
      <c r="P17" s="68"/>
      <c r="Q17" s="68"/>
      <c r="R17" s="68"/>
      <c r="AB17" s="53"/>
      <c r="AC17" s="53"/>
      <c r="AD17" s="53"/>
      <c r="AE17" s="53"/>
      <c r="AF17" s="53"/>
      <c r="AG17" s="53"/>
      <c r="AH17" s="53"/>
      <c r="AI17" s="53"/>
    </row>
    <row r="18" spans="1:18" s="64" customFormat="1" ht="9" customHeight="1">
      <c r="A18" s="154"/>
      <c r="B18" s="155"/>
      <c r="C18" s="156"/>
      <c r="D18" s="156"/>
      <c r="E18" s="157"/>
      <c r="F18" s="157"/>
      <c r="G18" s="72"/>
      <c r="H18" s="72"/>
      <c r="I18" s="72"/>
      <c r="J18" s="72"/>
      <c r="K18" s="72"/>
      <c r="L18" s="72"/>
      <c r="M18" s="72"/>
      <c r="N18" s="72"/>
      <c r="O18" s="72"/>
      <c r="P18" s="72"/>
      <c r="Q18" s="72"/>
      <c r="R18" s="72"/>
    </row>
    <row r="19" spans="1:18" s="55" customFormat="1" ht="22.5" customHeight="1">
      <c r="A19" s="66"/>
      <c r="B19" s="113" t="s">
        <v>2</v>
      </c>
      <c r="C19" s="105">
        <v>500</v>
      </c>
      <c r="D19" s="105">
        <v>500</v>
      </c>
      <c r="E19" s="124"/>
      <c r="F19" s="124"/>
      <c r="G19" s="76"/>
      <c r="H19" s="68"/>
      <c r="I19" s="68"/>
      <c r="J19" s="68"/>
      <c r="K19" s="68"/>
      <c r="L19" s="68"/>
      <c r="M19" s="68"/>
      <c r="N19" s="68"/>
      <c r="O19" s="68"/>
      <c r="P19" s="68"/>
      <c r="Q19" s="68"/>
      <c r="R19" s="68"/>
    </row>
    <row r="20" spans="1:18" s="64" customFormat="1" ht="9" customHeight="1">
      <c r="A20" s="154"/>
      <c r="B20" s="158"/>
      <c r="C20" s="159"/>
      <c r="D20" s="159"/>
      <c r="E20" s="160"/>
      <c r="F20" s="160"/>
      <c r="G20" s="161"/>
      <c r="H20" s="72"/>
      <c r="I20" s="72"/>
      <c r="J20" s="72"/>
      <c r="K20" s="72"/>
      <c r="L20" s="72"/>
      <c r="M20" s="72"/>
      <c r="N20" s="72"/>
      <c r="O20" s="72"/>
      <c r="P20" s="72"/>
      <c r="Q20" s="72"/>
      <c r="R20" s="72"/>
    </row>
    <row r="21" spans="1:35" ht="22.5" customHeight="1">
      <c r="A21" s="103"/>
      <c r="B21" s="111" t="s">
        <v>186</v>
      </c>
      <c r="C21" s="104">
        <v>175000</v>
      </c>
      <c r="D21" s="104">
        <v>175000</v>
      </c>
      <c r="E21" s="124"/>
      <c r="F21" s="124"/>
      <c r="G21" s="68"/>
      <c r="H21" s="68"/>
      <c r="I21" s="68"/>
      <c r="J21" s="68"/>
      <c r="K21" s="68"/>
      <c r="L21" s="68"/>
      <c r="M21" s="68"/>
      <c r="N21" s="68"/>
      <c r="O21" s="68"/>
      <c r="P21" s="68"/>
      <c r="Q21" s="68"/>
      <c r="R21" s="68"/>
      <c r="AB21" s="53"/>
      <c r="AC21" s="53"/>
      <c r="AD21" s="53"/>
      <c r="AE21" s="53"/>
      <c r="AF21" s="53"/>
      <c r="AG21" s="53"/>
      <c r="AH21" s="53"/>
      <c r="AI21" s="53"/>
    </row>
    <row r="22" spans="1:18" s="55" customFormat="1" ht="22.5" customHeight="1" hidden="1">
      <c r="A22" s="66"/>
      <c r="B22" s="107" t="s">
        <v>157</v>
      </c>
      <c r="C22" s="78">
        <f>C19*0.2</f>
        <v>100</v>
      </c>
      <c r="D22" s="78">
        <f>D19*0.2</f>
        <v>100</v>
      </c>
      <c r="E22" s="77"/>
      <c r="F22" s="77"/>
      <c r="G22" s="76"/>
      <c r="H22" s="68"/>
      <c r="I22" s="68"/>
      <c r="J22" s="68"/>
      <c r="K22" s="68"/>
      <c r="L22" s="68"/>
      <c r="M22" s="68"/>
      <c r="N22" s="68"/>
      <c r="O22" s="68"/>
      <c r="P22" s="68"/>
      <c r="Q22" s="68"/>
      <c r="R22" s="68"/>
    </row>
    <row r="23" spans="1:18" s="55" customFormat="1" ht="9" customHeight="1">
      <c r="A23" s="66"/>
      <c r="B23" s="106"/>
      <c r="C23" s="56"/>
      <c r="D23" s="56"/>
      <c r="E23" s="56"/>
      <c r="F23" s="56"/>
      <c r="G23" s="76"/>
      <c r="H23" s="68"/>
      <c r="I23" s="68"/>
      <c r="J23" s="68"/>
      <c r="K23" s="68"/>
      <c r="L23" s="68"/>
      <c r="M23" s="68"/>
      <c r="N23" s="68"/>
      <c r="O23" s="68"/>
      <c r="P23" s="68"/>
      <c r="Q23" s="68"/>
      <c r="R23" s="68"/>
    </row>
    <row r="24" spans="1:35" ht="28.5" customHeight="1">
      <c r="A24" s="66"/>
      <c r="B24" s="190" t="s">
        <v>145</v>
      </c>
      <c r="C24" s="115"/>
      <c r="D24" s="115"/>
      <c r="E24" s="115"/>
      <c r="F24" s="115"/>
      <c r="G24" s="76"/>
      <c r="H24" s="68"/>
      <c r="I24" s="68"/>
      <c r="J24" s="68"/>
      <c r="K24" s="68"/>
      <c r="L24" s="68"/>
      <c r="M24" s="68"/>
      <c r="N24" s="68"/>
      <c r="O24" s="68"/>
      <c r="P24" s="68"/>
      <c r="Q24" s="68"/>
      <c r="R24" s="68"/>
      <c r="AB24" s="53"/>
      <c r="AC24" s="53"/>
      <c r="AD24" s="53"/>
      <c r="AE24" s="53"/>
      <c r="AF24" s="53"/>
      <c r="AG24" s="53"/>
      <c r="AH24" s="53"/>
      <c r="AI24" s="53"/>
    </row>
    <row r="25" spans="1:18" s="55" customFormat="1" ht="9" customHeight="1">
      <c r="A25" s="66"/>
      <c r="B25" s="114"/>
      <c r="C25" s="115"/>
      <c r="D25" s="115"/>
      <c r="E25" s="115"/>
      <c r="F25" s="115"/>
      <c r="G25" s="76"/>
      <c r="H25" s="68"/>
      <c r="I25" s="68"/>
      <c r="J25" s="68"/>
      <c r="K25" s="68"/>
      <c r="L25" s="68"/>
      <c r="M25" s="68"/>
      <c r="N25" s="68"/>
      <c r="O25" s="68"/>
      <c r="P25" s="68"/>
      <c r="Q25" s="68"/>
      <c r="R25" s="68"/>
    </row>
    <row r="26" spans="1:18" s="55" customFormat="1" ht="30" customHeight="1">
      <c r="A26" s="66"/>
      <c r="B26" s="273" t="s">
        <v>131</v>
      </c>
      <c r="C26" s="273"/>
      <c r="D26" s="273"/>
      <c r="E26" s="273"/>
      <c r="F26" s="274"/>
      <c r="G26" s="76"/>
      <c r="H26" s="68"/>
      <c r="I26" s="68"/>
      <c r="J26" s="68"/>
      <c r="K26" s="68"/>
      <c r="L26" s="68"/>
      <c r="M26" s="68"/>
      <c r="N26" s="68"/>
      <c r="O26" s="68"/>
      <c r="P26" s="68"/>
      <c r="Q26" s="68"/>
      <c r="R26" s="68"/>
    </row>
    <row r="27" spans="1:18" s="64" customFormat="1" ht="9" customHeight="1">
      <c r="A27" s="154"/>
      <c r="B27" s="158"/>
      <c r="C27" s="159"/>
      <c r="D27" s="159"/>
      <c r="E27" s="160"/>
      <c r="F27" s="160"/>
      <c r="G27" s="161"/>
      <c r="H27" s="72"/>
      <c r="I27" s="72"/>
      <c r="J27" s="72"/>
      <c r="K27" s="72"/>
      <c r="L27" s="72"/>
      <c r="M27" s="72"/>
      <c r="N27" s="72"/>
      <c r="O27" s="72"/>
      <c r="P27" s="72"/>
      <c r="Q27" s="72"/>
      <c r="R27" s="72"/>
    </row>
    <row r="28" spans="1:35" ht="22.5" customHeight="1">
      <c r="A28" s="103"/>
      <c r="B28" s="116" t="s">
        <v>226</v>
      </c>
      <c r="C28" s="121">
        <v>300</v>
      </c>
      <c r="D28" s="121">
        <v>150</v>
      </c>
      <c r="E28" s="125">
        <v>125</v>
      </c>
      <c r="F28" s="126"/>
      <c r="G28" s="68"/>
      <c r="H28" s="68"/>
      <c r="I28" s="68"/>
      <c r="J28" s="68"/>
      <c r="K28" s="68"/>
      <c r="L28" s="68"/>
      <c r="M28" s="68"/>
      <c r="N28" s="68"/>
      <c r="O28" s="68"/>
      <c r="P28" s="68"/>
      <c r="Q28" s="68"/>
      <c r="R28" s="68"/>
      <c r="AB28" s="53"/>
      <c r="AC28" s="53"/>
      <c r="AD28" s="53"/>
      <c r="AE28" s="53"/>
      <c r="AF28" s="53"/>
      <c r="AG28" s="53"/>
      <c r="AH28" s="53"/>
      <c r="AI28" s="53"/>
    </row>
    <row r="29" spans="1:18" s="55" customFormat="1" ht="22.5" customHeight="1" hidden="1">
      <c r="A29" s="66"/>
      <c r="B29" s="108" t="s">
        <v>87</v>
      </c>
      <c r="C29" s="79">
        <f>BMSCCCostsBasic!B4</f>
        <v>37862.5</v>
      </c>
      <c r="D29" s="79">
        <f>BMSCCCostsBasic!C4</f>
        <v>13975</v>
      </c>
      <c r="E29" s="80"/>
      <c r="F29" s="79">
        <f>C29-D29</f>
        <v>23887.5</v>
      </c>
      <c r="G29" s="76"/>
      <c r="H29" s="68"/>
      <c r="I29" s="68"/>
      <c r="J29" s="68"/>
      <c r="K29" s="68"/>
      <c r="L29" s="68"/>
      <c r="M29" s="68"/>
      <c r="N29" s="68"/>
      <c r="O29" s="68"/>
      <c r="P29" s="68"/>
      <c r="Q29" s="68"/>
      <c r="R29" s="68"/>
    </row>
    <row r="30" spans="1:35" ht="22.5" customHeight="1" hidden="1">
      <c r="A30" s="66"/>
      <c r="B30" s="109" t="s">
        <v>160</v>
      </c>
      <c r="C30" s="81">
        <v>0</v>
      </c>
      <c r="D30" s="81">
        <v>0</v>
      </c>
      <c r="E30" s="77"/>
      <c r="F30" s="82"/>
      <c r="G30" s="68"/>
      <c r="H30" s="68"/>
      <c r="I30" s="68"/>
      <c r="J30" s="68"/>
      <c r="K30" s="68"/>
      <c r="L30" s="68"/>
      <c r="M30" s="68"/>
      <c r="N30" s="68"/>
      <c r="O30" s="68"/>
      <c r="P30" s="68"/>
      <c r="Q30" s="68"/>
      <c r="R30" s="68"/>
      <c r="AB30" s="53"/>
      <c r="AC30" s="53"/>
      <c r="AD30" s="53"/>
      <c r="AE30" s="53"/>
      <c r="AF30" s="53"/>
      <c r="AG30" s="53"/>
      <c r="AH30" s="53"/>
      <c r="AI30" s="53"/>
    </row>
    <row r="31" spans="1:18" s="55" customFormat="1" ht="22.5" customHeight="1" hidden="1">
      <c r="A31" s="66"/>
      <c r="B31" s="109" t="s">
        <v>159</v>
      </c>
      <c r="C31" s="81">
        <v>0</v>
      </c>
      <c r="D31" s="81">
        <v>0</v>
      </c>
      <c r="E31" s="77"/>
      <c r="F31" s="82"/>
      <c r="G31" s="68"/>
      <c r="H31" s="68"/>
      <c r="I31" s="68"/>
      <c r="J31" s="68"/>
      <c r="K31" s="68"/>
      <c r="L31" s="68"/>
      <c r="M31" s="68"/>
      <c r="N31" s="68"/>
      <c r="O31" s="68"/>
      <c r="P31" s="68"/>
      <c r="Q31" s="68"/>
      <c r="R31" s="68"/>
    </row>
    <row r="32" spans="1:35" ht="22.5" customHeight="1" hidden="1">
      <c r="A32" s="66"/>
      <c r="B32" s="109" t="s">
        <v>173</v>
      </c>
      <c r="C32" s="81">
        <v>0</v>
      </c>
      <c r="D32" s="81">
        <v>0</v>
      </c>
      <c r="E32" s="77"/>
      <c r="F32" s="82"/>
      <c r="G32" s="68"/>
      <c r="H32" s="68"/>
      <c r="I32" s="68"/>
      <c r="J32" s="68"/>
      <c r="K32" s="68"/>
      <c r="L32" s="68"/>
      <c r="M32" s="68"/>
      <c r="N32" s="68"/>
      <c r="O32" s="68"/>
      <c r="P32" s="68"/>
      <c r="Q32" s="68"/>
      <c r="R32" s="68"/>
      <c r="AB32" s="53"/>
      <c r="AC32" s="53"/>
      <c r="AD32" s="53"/>
      <c r="AE32" s="53"/>
      <c r="AF32" s="53"/>
      <c r="AG32" s="53"/>
      <c r="AH32" s="53"/>
      <c r="AI32" s="53"/>
    </row>
    <row r="33" spans="1:35" ht="22.5" customHeight="1" hidden="1">
      <c r="A33" s="66"/>
      <c r="B33" s="108" t="s">
        <v>169</v>
      </c>
      <c r="C33" s="83">
        <f>BMSCCCostsBasic!B25</f>
        <v>0</v>
      </c>
      <c r="D33" s="83">
        <f>BMSCCCostsBasic!C25</f>
        <v>0</v>
      </c>
      <c r="E33" s="77"/>
      <c r="F33" s="82">
        <f>C33-D33</f>
        <v>0</v>
      </c>
      <c r="G33" s="68"/>
      <c r="H33" s="68"/>
      <c r="I33" s="68"/>
      <c r="J33" s="68"/>
      <c r="K33" s="68"/>
      <c r="L33" s="68"/>
      <c r="M33" s="68"/>
      <c r="N33" s="68"/>
      <c r="O33" s="68"/>
      <c r="P33" s="68"/>
      <c r="Q33" s="68"/>
      <c r="R33" s="68"/>
      <c r="AB33" s="53"/>
      <c r="AC33" s="53"/>
      <c r="AD33" s="53"/>
      <c r="AE33" s="53"/>
      <c r="AF33" s="53"/>
      <c r="AG33" s="53"/>
      <c r="AH33" s="53"/>
      <c r="AI33" s="53"/>
    </row>
    <row r="34" spans="1:18" s="55" customFormat="1" ht="9" customHeight="1">
      <c r="A34" s="66"/>
      <c r="B34" s="117"/>
      <c r="C34" s="118"/>
      <c r="D34" s="118"/>
      <c r="E34" s="119"/>
      <c r="F34" s="120"/>
      <c r="G34" s="68"/>
      <c r="H34" s="68"/>
      <c r="I34" s="68"/>
      <c r="J34" s="68"/>
      <c r="K34" s="68"/>
      <c r="L34" s="68"/>
      <c r="M34" s="68"/>
      <c r="N34" s="68"/>
      <c r="O34" s="68"/>
      <c r="P34" s="68"/>
      <c r="Q34" s="68"/>
      <c r="R34" s="68"/>
    </row>
    <row r="35" spans="1:35" ht="22.5" customHeight="1">
      <c r="A35" s="66"/>
      <c r="B35" s="187" t="s">
        <v>11</v>
      </c>
      <c r="C35" s="264">
        <f>C29+C33</f>
        <v>37862.5</v>
      </c>
      <c r="D35" s="260">
        <f>D29+D33</f>
        <v>13975</v>
      </c>
      <c r="E35" s="189"/>
      <c r="F35" s="260">
        <f>IF(F29+F33&lt;0,FLOOR(F29+F33,-100),FLOOR(F29+F33,100))</f>
        <v>23800</v>
      </c>
      <c r="G35" s="68"/>
      <c r="H35" s="68"/>
      <c r="I35" s="68"/>
      <c r="J35" s="68"/>
      <c r="K35" s="68"/>
      <c r="L35" s="68"/>
      <c r="M35" s="68"/>
      <c r="N35" s="68"/>
      <c r="O35" s="68"/>
      <c r="P35" s="68"/>
      <c r="Q35" s="68"/>
      <c r="R35" s="68"/>
      <c r="AB35" s="53"/>
      <c r="AC35" s="53"/>
      <c r="AD35" s="53"/>
      <c r="AE35" s="53"/>
      <c r="AF35" s="53"/>
      <c r="AG35" s="53"/>
      <c r="AH35" s="53"/>
      <c r="AI35" s="53"/>
    </row>
    <row r="36" spans="1:18" s="55" customFormat="1" ht="9" customHeight="1">
      <c r="A36" s="66"/>
      <c r="B36" s="106"/>
      <c r="C36" s="122"/>
      <c r="D36" s="122"/>
      <c r="E36" s="122"/>
      <c r="F36" s="122"/>
      <c r="G36" s="68"/>
      <c r="H36" s="68"/>
      <c r="I36" s="68"/>
      <c r="J36" s="68"/>
      <c r="K36" s="68"/>
      <c r="L36" s="68"/>
      <c r="M36" s="68"/>
      <c r="N36" s="68"/>
      <c r="O36" s="68"/>
      <c r="P36" s="68"/>
      <c r="Q36" s="68"/>
      <c r="R36" s="68"/>
    </row>
    <row r="37" spans="1:18" s="55" customFormat="1" ht="30" customHeight="1">
      <c r="A37" s="66"/>
      <c r="B37" s="273" t="s">
        <v>132</v>
      </c>
      <c r="C37" s="273"/>
      <c r="D37" s="273"/>
      <c r="E37" s="273"/>
      <c r="F37" s="274"/>
      <c r="G37" s="76"/>
      <c r="H37" s="68"/>
      <c r="I37" s="68"/>
      <c r="J37" s="68"/>
      <c r="K37" s="68"/>
      <c r="L37" s="68"/>
      <c r="M37" s="68"/>
      <c r="N37" s="68"/>
      <c r="O37" s="68"/>
      <c r="P37" s="68"/>
      <c r="Q37" s="68"/>
      <c r="R37" s="68"/>
    </row>
    <row r="38" spans="1:35" ht="22.5" customHeight="1" hidden="1">
      <c r="A38" s="66"/>
      <c r="B38" s="109" t="s">
        <v>188</v>
      </c>
      <c r="C38" s="275" t="s">
        <v>189</v>
      </c>
      <c r="D38" s="275"/>
      <c r="E38" s="77"/>
      <c r="F38" s="77"/>
      <c r="G38" s="68"/>
      <c r="H38" s="68"/>
      <c r="I38" s="68"/>
      <c r="J38" s="68"/>
      <c r="K38" s="68"/>
      <c r="L38" s="68"/>
      <c r="M38" s="68"/>
      <c r="N38" s="68"/>
      <c r="O38" s="68"/>
      <c r="P38" s="68"/>
      <c r="Q38" s="68"/>
      <c r="R38" s="68"/>
      <c r="AB38" s="53"/>
      <c r="AC38" s="53"/>
      <c r="AD38" s="53"/>
      <c r="AE38" s="53"/>
      <c r="AF38" s="53"/>
      <c r="AG38" s="53"/>
      <c r="AH38" s="53"/>
      <c r="AI38" s="53"/>
    </row>
    <row r="39" spans="1:35" ht="22.5" customHeight="1" hidden="1">
      <c r="A39" s="66"/>
      <c r="B39" s="107" t="s">
        <v>4</v>
      </c>
      <c r="C39" s="81"/>
      <c r="D39" s="81"/>
      <c r="E39" s="77"/>
      <c r="F39" s="77"/>
      <c r="G39" s="68"/>
      <c r="H39" s="68"/>
      <c r="I39" s="68"/>
      <c r="J39" s="68"/>
      <c r="K39" s="68"/>
      <c r="L39" s="68"/>
      <c r="M39" s="68"/>
      <c r="N39" s="68"/>
      <c r="O39" s="68"/>
      <c r="P39" s="68"/>
      <c r="Q39" s="68"/>
      <c r="R39" s="68"/>
      <c r="AB39" s="53"/>
      <c r="AC39" s="53"/>
      <c r="AD39" s="53"/>
      <c r="AE39" s="53"/>
      <c r="AF39" s="53"/>
      <c r="AG39" s="53"/>
      <c r="AH39" s="53"/>
      <c r="AI39" s="53"/>
    </row>
    <row r="40" spans="1:35" ht="22.5" customHeight="1" hidden="1">
      <c r="A40" s="66"/>
      <c r="B40" s="107">
        <v>1</v>
      </c>
      <c r="C40" s="81"/>
      <c r="D40" s="81"/>
      <c r="E40" s="80"/>
      <c r="F40" s="77"/>
      <c r="G40" s="68"/>
      <c r="H40" s="68"/>
      <c r="I40" s="68"/>
      <c r="J40" s="68"/>
      <c r="K40" s="68"/>
      <c r="L40" s="68"/>
      <c r="M40" s="68"/>
      <c r="N40" s="68"/>
      <c r="O40" s="68"/>
      <c r="P40" s="68"/>
      <c r="Q40" s="68"/>
      <c r="R40" s="68"/>
      <c r="AB40" s="53"/>
      <c r="AC40" s="53"/>
      <c r="AD40" s="53"/>
      <c r="AE40" s="53"/>
      <c r="AF40" s="53"/>
      <c r="AG40" s="53"/>
      <c r="AH40" s="53"/>
      <c r="AI40" s="53"/>
    </row>
    <row r="41" spans="1:35" ht="22.5" customHeight="1" hidden="1">
      <c r="A41" s="66"/>
      <c r="B41" s="107">
        <v>2</v>
      </c>
      <c r="C41" s="81"/>
      <c r="D41" s="81"/>
      <c r="E41" s="80"/>
      <c r="F41" s="77"/>
      <c r="G41" s="68"/>
      <c r="H41" s="68"/>
      <c r="I41" s="68"/>
      <c r="J41" s="68"/>
      <c r="K41" s="68"/>
      <c r="L41" s="68"/>
      <c r="M41" s="68"/>
      <c r="N41" s="68"/>
      <c r="O41" s="68"/>
      <c r="P41" s="68"/>
      <c r="Q41" s="68"/>
      <c r="R41" s="68"/>
      <c r="AB41" s="53"/>
      <c r="AC41" s="53"/>
      <c r="AD41" s="53"/>
      <c r="AE41" s="53"/>
      <c r="AF41" s="53"/>
      <c r="AG41" s="53"/>
      <c r="AH41" s="53"/>
      <c r="AI41" s="53"/>
    </row>
    <row r="42" spans="1:35" ht="22.5" customHeight="1" hidden="1">
      <c r="A42" s="66"/>
      <c r="B42" s="107">
        <v>3</v>
      </c>
      <c r="C42" s="81"/>
      <c r="D42" s="81"/>
      <c r="E42" s="80"/>
      <c r="F42" s="77"/>
      <c r="G42" s="68"/>
      <c r="H42" s="68"/>
      <c r="I42" s="68"/>
      <c r="J42" s="68"/>
      <c r="K42" s="68"/>
      <c r="L42" s="68"/>
      <c r="M42" s="68"/>
      <c r="N42" s="68"/>
      <c r="O42" s="68"/>
      <c r="P42" s="68"/>
      <c r="Q42" s="68"/>
      <c r="R42" s="68"/>
      <c r="AB42" s="53"/>
      <c r="AC42" s="53"/>
      <c r="AD42" s="53"/>
      <c r="AE42" s="53"/>
      <c r="AF42" s="53"/>
      <c r="AG42" s="53"/>
      <c r="AH42" s="53"/>
      <c r="AI42" s="53"/>
    </row>
    <row r="43" spans="1:35" ht="22.5" customHeight="1" hidden="1">
      <c r="A43" s="66"/>
      <c r="B43" s="107">
        <v>4</v>
      </c>
      <c r="C43" s="81"/>
      <c r="D43" s="81"/>
      <c r="E43" s="80"/>
      <c r="F43" s="77"/>
      <c r="G43" s="68"/>
      <c r="H43" s="68"/>
      <c r="I43" s="68"/>
      <c r="J43" s="68"/>
      <c r="K43" s="68"/>
      <c r="L43" s="68"/>
      <c r="M43" s="68"/>
      <c r="N43" s="68"/>
      <c r="O43" s="68"/>
      <c r="P43" s="68"/>
      <c r="Q43" s="68"/>
      <c r="R43" s="68"/>
      <c r="AB43" s="53"/>
      <c r="AC43" s="53"/>
      <c r="AD43" s="53"/>
      <c r="AE43" s="53"/>
      <c r="AF43" s="53"/>
      <c r="AG43" s="53"/>
      <c r="AH43" s="53"/>
      <c r="AI43" s="53"/>
    </row>
    <row r="44" spans="1:35" ht="22.5" customHeight="1" hidden="1">
      <c r="A44" s="66"/>
      <c r="B44" s="107">
        <v>5</v>
      </c>
      <c r="C44" s="81"/>
      <c r="D44" s="81"/>
      <c r="E44" s="80"/>
      <c r="F44" s="77"/>
      <c r="G44" s="68"/>
      <c r="H44" s="68"/>
      <c r="I44" s="68"/>
      <c r="J44" s="68"/>
      <c r="K44" s="68"/>
      <c r="L44" s="68"/>
      <c r="M44" s="68"/>
      <c r="N44" s="68"/>
      <c r="O44" s="68"/>
      <c r="P44" s="68"/>
      <c r="Q44" s="68"/>
      <c r="R44" s="68"/>
      <c r="AB44" s="53"/>
      <c r="AC44" s="53"/>
      <c r="AD44" s="53"/>
      <c r="AE44" s="53"/>
      <c r="AF44" s="53"/>
      <c r="AG44" s="53"/>
      <c r="AH44" s="53"/>
      <c r="AI44" s="53"/>
    </row>
    <row r="45" spans="1:35" ht="22.5" customHeight="1" hidden="1">
      <c r="A45" s="66"/>
      <c r="B45" s="107">
        <v>6</v>
      </c>
      <c r="C45" s="81"/>
      <c r="D45" s="81"/>
      <c r="E45" s="80"/>
      <c r="F45" s="77"/>
      <c r="G45" s="68"/>
      <c r="H45" s="68"/>
      <c r="I45" s="68"/>
      <c r="J45" s="68"/>
      <c r="K45" s="68"/>
      <c r="L45" s="68"/>
      <c r="M45" s="68"/>
      <c r="N45" s="68"/>
      <c r="O45" s="68"/>
      <c r="P45" s="68"/>
      <c r="Q45" s="68"/>
      <c r="R45" s="68"/>
      <c r="AB45" s="53"/>
      <c r="AC45" s="53"/>
      <c r="AD45" s="53"/>
      <c r="AE45" s="53"/>
      <c r="AF45" s="53"/>
      <c r="AG45" s="53"/>
      <c r="AH45" s="53"/>
      <c r="AI45" s="53"/>
    </row>
    <row r="46" spans="1:35" ht="22.5" customHeight="1" hidden="1">
      <c r="A46" s="66"/>
      <c r="B46" s="107">
        <v>7</v>
      </c>
      <c r="C46" s="81"/>
      <c r="D46" s="81"/>
      <c r="E46" s="80"/>
      <c r="F46" s="77"/>
      <c r="G46" s="68"/>
      <c r="H46" s="68"/>
      <c r="I46" s="68"/>
      <c r="J46" s="68"/>
      <c r="K46" s="68"/>
      <c r="L46" s="68"/>
      <c r="M46" s="68"/>
      <c r="N46" s="68"/>
      <c r="O46" s="68"/>
      <c r="P46" s="68"/>
      <c r="Q46" s="68"/>
      <c r="R46" s="68"/>
      <c r="AB46" s="53"/>
      <c r="AC46" s="53"/>
      <c r="AD46" s="53"/>
      <c r="AE46" s="53"/>
      <c r="AF46" s="53"/>
      <c r="AG46" s="53"/>
      <c r="AH46" s="53"/>
      <c r="AI46" s="53"/>
    </row>
    <row r="47" spans="1:35" ht="22.5" customHeight="1" hidden="1">
      <c r="A47" s="66"/>
      <c r="B47" s="107">
        <v>8</v>
      </c>
      <c r="C47" s="81"/>
      <c r="D47" s="81"/>
      <c r="E47" s="80"/>
      <c r="F47" s="77"/>
      <c r="G47" s="68"/>
      <c r="H47" s="68"/>
      <c r="I47" s="68"/>
      <c r="J47" s="68"/>
      <c r="K47" s="68"/>
      <c r="L47" s="68"/>
      <c r="M47" s="68"/>
      <c r="N47" s="68"/>
      <c r="O47" s="68"/>
      <c r="P47" s="68"/>
      <c r="Q47" s="68"/>
      <c r="R47" s="68"/>
      <c r="AB47" s="53"/>
      <c r="AC47" s="53"/>
      <c r="AD47" s="53"/>
      <c r="AE47" s="53"/>
      <c r="AF47" s="53"/>
      <c r="AG47" s="53"/>
      <c r="AH47" s="53"/>
      <c r="AI47" s="53"/>
    </row>
    <row r="48" spans="1:35" ht="22.5" customHeight="1" hidden="1">
      <c r="A48" s="66"/>
      <c r="B48" s="107">
        <v>9</v>
      </c>
      <c r="C48" s="81"/>
      <c r="D48" s="81"/>
      <c r="E48" s="80"/>
      <c r="F48" s="77"/>
      <c r="G48" s="68"/>
      <c r="H48" s="68"/>
      <c r="I48" s="68"/>
      <c r="J48" s="68"/>
      <c r="K48" s="68"/>
      <c r="L48" s="68"/>
      <c r="M48" s="68"/>
      <c r="N48" s="68"/>
      <c r="O48" s="68"/>
      <c r="P48" s="68"/>
      <c r="Q48" s="68"/>
      <c r="R48" s="68"/>
      <c r="AB48" s="53"/>
      <c r="AC48" s="53"/>
      <c r="AD48" s="53"/>
      <c r="AE48" s="53"/>
      <c r="AF48" s="53"/>
      <c r="AG48" s="53"/>
      <c r="AH48" s="53"/>
      <c r="AI48" s="53"/>
    </row>
    <row r="49" spans="1:35" ht="22.5" customHeight="1" hidden="1">
      <c r="A49" s="66"/>
      <c r="B49" s="107">
        <v>10</v>
      </c>
      <c r="C49" s="81"/>
      <c r="D49" s="81"/>
      <c r="E49" s="80"/>
      <c r="F49" s="77"/>
      <c r="G49" s="68"/>
      <c r="H49" s="68"/>
      <c r="I49" s="68"/>
      <c r="J49" s="68"/>
      <c r="K49" s="68"/>
      <c r="L49" s="68"/>
      <c r="M49" s="68"/>
      <c r="N49" s="68"/>
      <c r="O49" s="68"/>
      <c r="P49" s="68"/>
      <c r="Q49" s="68"/>
      <c r="R49" s="68"/>
      <c r="AB49" s="53"/>
      <c r="AC49" s="53"/>
      <c r="AD49" s="53"/>
      <c r="AE49" s="53"/>
      <c r="AF49" s="53"/>
      <c r="AG49" s="53"/>
      <c r="AH49" s="53"/>
      <c r="AI49" s="53"/>
    </row>
    <row r="50" spans="1:35" ht="22.5" customHeight="1" hidden="1">
      <c r="A50" s="66"/>
      <c r="B50" s="107">
        <v>11</v>
      </c>
      <c r="C50" s="81"/>
      <c r="D50" s="81"/>
      <c r="E50" s="80"/>
      <c r="F50" s="77"/>
      <c r="G50" s="68"/>
      <c r="H50" s="68"/>
      <c r="I50" s="68"/>
      <c r="J50" s="68"/>
      <c r="K50" s="68"/>
      <c r="L50" s="68"/>
      <c r="M50" s="68"/>
      <c r="N50" s="68"/>
      <c r="O50" s="68"/>
      <c r="P50" s="68"/>
      <c r="Q50" s="68"/>
      <c r="R50" s="68"/>
      <c r="AB50" s="53"/>
      <c r="AC50" s="53"/>
      <c r="AD50" s="53"/>
      <c r="AE50" s="53"/>
      <c r="AF50" s="53"/>
      <c r="AG50" s="53"/>
      <c r="AH50" s="53"/>
      <c r="AI50" s="53"/>
    </row>
    <row r="51" spans="1:35" ht="22.5" customHeight="1" hidden="1">
      <c r="A51" s="66"/>
      <c r="B51" s="109" t="s">
        <v>191</v>
      </c>
      <c r="C51" s="85">
        <f>SUM(C39:C50)</f>
        <v>0</v>
      </c>
      <c r="D51" s="85">
        <f>SUM(D39:D50)</f>
        <v>0</v>
      </c>
      <c r="E51" s="80"/>
      <c r="F51" s="77"/>
      <c r="G51" s="68"/>
      <c r="H51" s="68"/>
      <c r="I51" s="68"/>
      <c r="J51" s="68"/>
      <c r="K51" s="68"/>
      <c r="L51" s="68"/>
      <c r="M51" s="68"/>
      <c r="N51" s="68"/>
      <c r="O51" s="68"/>
      <c r="P51" s="68"/>
      <c r="Q51" s="68"/>
      <c r="R51" s="68"/>
      <c r="AB51" s="53"/>
      <c r="AC51" s="53"/>
      <c r="AD51" s="53"/>
      <c r="AE51" s="53"/>
      <c r="AF51" s="53"/>
      <c r="AG51" s="53"/>
      <c r="AH51" s="53"/>
      <c r="AI51" s="53"/>
    </row>
    <row r="52" spans="1:18" s="64" customFormat="1" ht="9" customHeight="1">
      <c r="A52" s="154"/>
      <c r="B52" s="162"/>
      <c r="C52" s="159"/>
      <c r="D52" s="159"/>
      <c r="E52" s="163"/>
      <c r="F52" s="163"/>
      <c r="G52" s="161"/>
      <c r="H52" s="72"/>
      <c r="I52" s="72"/>
      <c r="J52" s="72"/>
      <c r="K52" s="72"/>
      <c r="L52" s="72"/>
      <c r="M52" s="72"/>
      <c r="N52" s="72"/>
      <c r="O52" s="72"/>
      <c r="P52" s="72"/>
      <c r="Q52" s="72"/>
      <c r="R52" s="72"/>
    </row>
    <row r="53" spans="1:35" ht="22.5" customHeight="1">
      <c r="A53" s="66"/>
      <c r="B53" s="140" t="s">
        <v>198</v>
      </c>
      <c r="C53" s="105">
        <v>3</v>
      </c>
      <c r="D53" s="105">
        <v>1</v>
      </c>
      <c r="E53" s="127"/>
      <c r="F53" s="127"/>
      <c r="G53" s="68"/>
      <c r="H53" s="68"/>
      <c r="I53" s="68"/>
      <c r="J53" s="68"/>
      <c r="K53" s="68"/>
      <c r="L53" s="68"/>
      <c r="M53" s="68"/>
      <c r="N53" s="68"/>
      <c r="O53" s="68"/>
      <c r="P53" s="68"/>
      <c r="Q53" s="68"/>
      <c r="R53" s="68"/>
      <c r="AB53" s="53"/>
      <c r="AC53" s="53"/>
      <c r="AD53" s="53"/>
      <c r="AE53" s="53"/>
      <c r="AF53" s="53"/>
      <c r="AG53" s="53"/>
      <c r="AH53" s="53"/>
      <c r="AI53" s="53"/>
    </row>
    <row r="54" spans="1:18" s="64" customFormat="1" ht="9" customHeight="1">
      <c r="A54" s="154"/>
      <c r="B54" s="162"/>
      <c r="C54" s="159"/>
      <c r="D54" s="159"/>
      <c r="E54" s="163"/>
      <c r="F54" s="163"/>
      <c r="G54" s="161"/>
      <c r="H54" s="72"/>
      <c r="I54" s="72"/>
      <c r="J54" s="72"/>
      <c r="K54" s="72"/>
      <c r="L54" s="72"/>
      <c r="M54" s="72"/>
      <c r="N54" s="72"/>
      <c r="O54" s="72"/>
      <c r="P54" s="72"/>
      <c r="Q54" s="72"/>
      <c r="R54" s="72"/>
    </row>
    <row r="55" spans="1:35" ht="22.5" customHeight="1">
      <c r="A55" s="66"/>
      <c r="B55" s="141" t="s">
        <v>199</v>
      </c>
      <c r="C55" s="129">
        <v>72</v>
      </c>
      <c r="D55" s="121">
        <v>38</v>
      </c>
      <c r="E55" s="124"/>
      <c r="F55" s="124"/>
      <c r="G55" s="68"/>
      <c r="H55" s="68"/>
      <c r="I55" s="68"/>
      <c r="J55" s="68"/>
      <c r="K55" s="68"/>
      <c r="L55" s="68"/>
      <c r="M55" s="68"/>
      <c r="N55" s="68"/>
      <c r="O55" s="68"/>
      <c r="P55" s="68"/>
      <c r="Q55" s="68"/>
      <c r="R55" s="68"/>
      <c r="AB55" s="53"/>
      <c r="AC55" s="53"/>
      <c r="AD55" s="53"/>
      <c r="AE55" s="53"/>
      <c r="AF55" s="53"/>
      <c r="AG55" s="53"/>
      <c r="AH55" s="53"/>
      <c r="AI55" s="53"/>
    </row>
    <row r="56" spans="1:18" s="64" customFormat="1" ht="9" customHeight="1">
      <c r="A56" s="154"/>
      <c r="B56" s="164"/>
      <c r="C56" s="165"/>
      <c r="D56" s="165"/>
      <c r="E56" s="166"/>
      <c r="F56" s="167"/>
      <c r="G56" s="72"/>
      <c r="H56" s="72"/>
      <c r="I56" s="72"/>
      <c r="J56" s="72"/>
      <c r="K56" s="72"/>
      <c r="L56" s="72"/>
      <c r="M56" s="72"/>
      <c r="N56" s="72"/>
      <c r="O56" s="72"/>
      <c r="P56" s="72"/>
      <c r="Q56" s="72"/>
      <c r="R56" s="72"/>
    </row>
    <row r="57" spans="1:35" ht="22.5" customHeight="1">
      <c r="A57" s="66"/>
      <c r="B57" s="140" t="s">
        <v>197</v>
      </c>
      <c r="C57" s="128">
        <f>SUM(C53:C55)/C19</f>
        <v>0.15</v>
      </c>
      <c r="D57" s="128">
        <f>SUM(D53:D55)/D19</f>
        <v>0.078</v>
      </c>
      <c r="E57" s="128">
        <v>0.08</v>
      </c>
      <c r="F57" s="127"/>
      <c r="G57" s="68"/>
      <c r="H57" s="68"/>
      <c r="I57" s="68"/>
      <c r="J57" s="68"/>
      <c r="K57" s="68"/>
      <c r="L57" s="68"/>
      <c r="M57" s="68"/>
      <c r="N57" s="68"/>
      <c r="O57" s="68"/>
      <c r="P57" s="68"/>
      <c r="Q57" s="68"/>
      <c r="R57" s="68"/>
      <c r="AB57" s="53"/>
      <c r="AC57" s="53"/>
      <c r="AD57" s="53"/>
      <c r="AE57" s="53"/>
      <c r="AF57" s="53"/>
      <c r="AG57" s="53"/>
      <c r="AH57" s="53"/>
      <c r="AI57" s="53"/>
    </row>
    <row r="58" spans="1:35" ht="22.5" customHeight="1" hidden="1">
      <c r="A58" s="66"/>
      <c r="B58" s="142" t="s">
        <v>187</v>
      </c>
      <c r="C58" s="86" t="s">
        <v>147</v>
      </c>
      <c r="D58" s="87" t="s">
        <v>63</v>
      </c>
      <c r="E58" s="77"/>
      <c r="F58" s="88"/>
      <c r="G58" s="68"/>
      <c r="H58" s="68"/>
      <c r="I58" s="68"/>
      <c r="J58" s="68"/>
      <c r="K58" s="68"/>
      <c r="L58" s="68"/>
      <c r="M58" s="68"/>
      <c r="N58" s="68"/>
      <c r="O58" s="68"/>
      <c r="P58" s="68"/>
      <c r="Q58" s="68"/>
      <c r="R58" s="68"/>
      <c r="AB58" s="53"/>
      <c r="AC58" s="53"/>
      <c r="AD58" s="53"/>
      <c r="AE58" s="53"/>
      <c r="AF58" s="53"/>
      <c r="AG58" s="53"/>
      <c r="AH58" s="53"/>
      <c r="AI58" s="53"/>
    </row>
    <row r="59" spans="1:35" ht="22.5" customHeight="1" hidden="1">
      <c r="A59" s="66"/>
      <c r="B59" s="143"/>
      <c r="C59" s="89">
        <v>0.5</v>
      </c>
      <c r="D59" s="90">
        <v>25</v>
      </c>
      <c r="E59" s="77"/>
      <c r="F59" s="77"/>
      <c r="G59" s="68"/>
      <c r="H59" s="68"/>
      <c r="I59" s="68"/>
      <c r="J59" s="68"/>
      <c r="K59" s="68"/>
      <c r="L59" s="68"/>
      <c r="M59" s="68"/>
      <c r="N59" s="68"/>
      <c r="O59" s="68"/>
      <c r="P59" s="68"/>
      <c r="Q59" s="68"/>
      <c r="R59" s="68"/>
      <c r="AB59" s="53"/>
      <c r="AC59" s="53"/>
      <c r="AD59" s="53"/>
      <c r="AE59" s="53"/>
      <c r="AF59" s="53"/>
      <c r="AG59" s="53"/>
      <c r="AH59" s="53"/>
      <c r="AI59" s="53"/>
    </row>
    <row r="60" spans="1:35" ht="22.5" customHeight="1" hidden="1">
      <c r="A60" s="66"/>
      <c r="B60" s="144"/>
      <c r="C60" s="91">
        <v>0.5</v>
      </c>
      <c r="D60" s="90">
        <v>50</v>
      </c>
      <c r="E60" s="77"/>
      <c r="F60" s="77"/>
      <c r="G60" s="68"/>
      <c r="H60" s="68"/>
      <c r="I60" s="68"/>
      <c r="J60" s="68"/>
      <c r="K60" s="68"/>
      <c r="L60" s="68"/>
      <c r="M60" s="68"/>
      <c r="N60" s="68"/>
      <c r="O60" s="68"/>
      <c r="P60" s="68"/>
      <c r="Q60" s="68"/>
      <c r="R60" s="68"/>
      <c r="AB60" s="53"/>
      <c r="AC60" s="53"/>
      <c r="AD60" s="53"/>
      <c r="AE60" s="53"/>
      <c r="AF60" s="53"/>
      <c r="AG60" s="53"/>
      <c r="AH60" s="53"/>
      <c r="AI60" s="53"/>
    </row>
    <row r="61" spans="1:35" ht="22.5" customHeight="1" hidden="1">
      <c r="A61" s="66"/>
      <c r="B61" s="143" t="s">
        <v>127</v>
      </c>
      <c r="C61" s="80"/>
      <c r="D61" s="95">
        <f>LabourCost</f>
        <v>18</v>
      </c>
      <c r="E61" s="77"/>
      <c r="F61" s="77"/>
      <c r="G61" s="68"/>
      <c r="H61" s="68"/>
      <c r="I61" s="68"/>
      <c r="J61" s="68"/>
      <c r="K61" s="68"/>
      <c r="L61" s="68"/>
      <c r="M61" s="68"/>
      <c r="N61" s="68"/>
      <c r="O61" s="68"/>
      <c r="P61" s="68"/>
      <c r="Q61" s="68"/>
      <c r="R61" s="68"/>
      <c r="AB61" s="53"/>
      <c r="AC61" s="53"/>
      <c r="AD61" s="53"/>
      <c r="AE61" s="53"/>
      <c r="AF61" s="53"/>
      <c r="AG61" s="53"/>
      <c r="AH61" s="53"/>
      <c r="AI61" s="53"/>
    </row>
    <row r="62" spans="1:35" ht="22.5" customHeight="1" hidden="1">
      <c r="A62" s="66"/>
      <c r="B62" s="143" t="s">
        <v>150</v>
      </c>
      <c r="C62" s="77"/>
      <c r="D62" s="77"/>
      <c r="E62" s="77"/>
      <c r="F62" s="77"/>
      <c r="G62" s="68"/>
      <c r="H62" s="68"/>
      <c r="I62" s="68"/>
      <c r="J62" s="68"/>
      <c r="K62" s="68"/>
      <c r="L62" s="68"/>
      <c r="M62" s="68"/>
      <c r="N62" s="68"/>
      <c r="O62" s="68"/>
      <c r="P62" s="68"/>
      <c r="Q62" s="68"/>
      <c r="R62" s="68"/>
      <c r="AB62" s="53"/>
      <c r="AC62" s="53"/>
      <c r="AD62" s="53"/>
      <c r="AE62" s="53"/>
      <c r="AF62" s="53"/>
      <c r="AG62" s="53"/>
      <c r="AH62" s="53"/>
      <c r="AI62" s="53"/>
    </row>
    <row r="63" spans="1:35" ht="22.5" customHeight="1" hidden="1">
      <c r="A63" s="66"/>
      <c r="B63" s="143" t="s">
        <v>177</v>
      </c>
      <c r="C63" s="77"/>
      <c r="D63" s="77"/>
      <c r="E63" s="77"/>
      <c r="F63" s="77"/>
      <c r="G63" s="68"/>
      <c r="H63" s="68"/>
      <c r="I63" s="68"/>
      <c r="J63" s="68"/>
      <c r="K63" s="68"/>
      <c r="L63" s="68"/>
      <c r="M63" s="68"/>
      <c r="N63" s="68"/>
      <c r="O63" s="68"/>
      <c r="P63" s="68"/>
      <c r="Q63" s="68"/>
      <c r="R63" s="68"/>
      <c r="AB63" s="53"/>
      <c r="AC63" s="53"/>
      <c r="AD63" s="53"/>
      <c r="AE63" s="53"/>
      <c r="AF63" s="53"/>
      <c r="AG63" s="53"/>
      <c r="AH63" s="53"/>
      <c r="AI63" s="53"/>
    </row>
    <row r="64" spans="1:35" ht="22.5" customHeight="1" hidden="1">
      <c r="A64" s="66"/>
      <c r="B64" s="143" t="s">
        <v>176</v>
      </c>
      <c r="C64" s="77"/>
      <c r="D64" s="92">
        <f>Payout*MSPercentDiscardedMilk</f>
        <v>0.585</v>
      </c>
      <c r="E64" s="77"/>
      <c r="F64" s="77"/>
      <c r="G64" s="68"/>
      <c r="H64" s="68"/>
      <c r="I64" s="68"/>
      <c r="J64" s="68"/>
      <c r="K64" s="68"/>
      <c r="L64" s="68"/>
      <c r="M64" s="68"/>
      <c r="N64" s="68"/>
      <c r="O64" s="68"/>
      <c r="P64" s="68"/>
      <c r="Q64" s="68"/>
      <c r="R64" s="68"/>
      <c r="AB64" s="53"/>
      <c r="AC64" s="53"/>
      <c r="AD64" s="53"/>
      <c r="AE64" s="53"/>
      <c r="AF64" s="53"/>
      <c r="AG64" s="53"/>
      <c r="AH64" s="53"/>
      <c r="AI64" s="53"/>
    </row>
    <row r="65" spans="1:35" ht="22.5" customHeight="1" hidden="1">
      <c r="A65" s="66"/>
      <c r="B65" s="143" t="s">
        <v>175</v>
      </c>
      <c r="C65" s="77"/>
      <c r="D65" s="213">
        <f>ABMilkValue</f>
        <v>0.15</v>
      </c>
      <c r="E65" s="77"/>
      <c r="F65" s="77"/>
      <c r="G65" s="68"/>
      <c r="H65" s="68"/>
      <c r="I65" s="68"/>
      <c r="J65" s="68"/>
      <c r="K65" s="68"/>
      <c r="L65" s="68"/>
      <c r="M65" s="68"/>
      <c r="N65" s="68"/>
      <c r="O65" s="68"/>
      <c r="P65" s="68"/>
      <c r="Q65" s="68"/>
      <c r="R65" s="68"/>
      <c r="AB65" s="53"/>
      <c r="AC65" s="53"/>
      <c r="AD65" s="53"/>
      <c r="AE65" s="53"/>
      <c r="AF65" s="53"/>
      <c r="AG65" s="53"/>
      <c r="AH65" s="53"/>
      <c r="AI65" s="53"/>
    </row>
    <row r="66" spans="1:35" ht="22.5" customHeight="1" hidden="1">
      <c r="A66" s="66"/>
      <c r="B66" s="142"/>
      <c r="C66" s="86" t="s">
        <v>142</v>
      </c>
      <c r="D66" s="86" t="s">
        <v>143</v>
      </c>
      <c r="E66" s="77"/>
      <c r="F66" s="77"/>
      <c r="G66" s="68"/>
      <c r="H66" s="68"/>
      <c r="I66" s="68"/>
      <c r="J66" s="68"/>
      <c r="K66" s="68"/>
      <c r="L66" s="68"/>
      <c r="M66" s="68"/>
      <c r="N66" s="68"/>
      <c r="O66" s="68"/>
      <c r="P66" s="68"/>
      <c r="Q66" s="68"/>
      <c r="R66" s="68"/>
      <c r="AB66" s="53"/>
      <c r="AC66" s="53"/>
      <c r="AD66" s="53"/>
      <c r="AE66" s="53"/>
      <c r="AF66" s="53"/>
      <c r="AG66" s="53"/>
      <c r="AH66" s="53"/>
      <c r="AI66" s="53"/>
    </row>
    <row r="67" spans="1:35" ht="22.5" customHeight="1" hidden="1">
      <c r="A67" s="66"/>
      <c r="B67" s="144" t="s">
        <v>161</v>
      </c>
      <c r="C67" s="211">
        <f>IF(MilkDiscardBas=2,MilkDiscardTotalBaselineBas*Payout,IF(AND(MilkDiscardBas=1,ABMilkFedCalvesBas=1),MilkDiscardTotalBaselineBas*Payout*CMPercentMonth6Plus,MilkDiscardTotalBaselineBas*(Payout-ClinicalCostsBasic!$B$112)))</f>
        <v>628.4359795134444</v>
      </c>
      <c r="D67" s="211">
        <f>IF(MilkDiscardBas=2,MilkDiscardTotalTargetBas*Payout,IF(AND(MilkDiscardBas=1,ABMilkFedCalvesBas=1),MilkDiscardTotalTargetBas*Payout*CMPercentMonth6Plus,MilkDiscardTotalTargetBas*(Payout-ClinicalCostsBasic!$B$112)))</f>
        <v>331.67454474320675</v>
      </c>
      <c r="E67" s="77"/>
      <c r="F67" s="82">
        <f>C67-D67</f>
        <v>296.76143477023766</v>
      </c>
      <c r="G67" s="68"/>
      <c r="H67" s="68"/>
      <c r="I67" s="68"/>
      <c r="J67" s="68"/>
      <c r="K67" s="68"/>
      <c r="L67" s="68"/>
      <c r="M67" s="68"/>
      <c r="N67" s="68"/>
      <c r="O67" s="68"/>
      <c r="P67" s="68"/>
      <c r="Q67" s="68"/>
      <c r="R67" s="68"/>
      <c r="AB67" s="53"/>
      <c r="AC67" s="53"/>
      <c r="AD67" s="53"/>
      <c r="AE67" s="53"/>
      <c r="AF67" s="53"/>
      <c r="AG67" s="53"/>
      <c r="AH67" s="53"/>
      <c r="AI67" s="53"/>
    </row>
    <row r="68" spans="1:35" ht="22.5" customHeight="1" hidden="1">
      <c r="A68" s="66"/>
      <c r="B68" s="144" t="s">
        <v>123</v>
      </c>
      <c r="C68" s="83">
        <f>(CMMilkingCurrentBas+CMDryCurrentBas)*((CMTreatProd1PercentBas*CMTreatProd1CostBas)+(CMTreatProd2PercentBas*CMTreatProd2CostBas))</f>
        <v>2812.5</v>
      </c>
      <c r="D68" s="83">
        <f>(CMMilkingTargetBas+CMDryTargetBas)*((CMTreatProd1PercentBas*CMTreatProd1CostBas)+(CMTreatProd2PercentBas*CMTreatProd2CostBas))</f>
        <v>1462.5</v>
      </c>
      <c r="E68" s="77"/>
      <c r="F68" s="82">
        <f>C68-D68</f>
        <v>1350</v>
      </c>
      <c r="G68" s="68"/>
      <c r="H68" s="68"/>
      <c r="I68" s="68"/>
      <c r="J68" s="68"/>
      <c r="K68" s="68"/>
      <c r="L68" s="68"/>
      <c r="M68" s="68"/>
      <c r="N68" s="68"/>
      <c r="O68" s="68"/>
      <c r="P68" s="68"/>
      <c r="Q68" s="68"/>
      <c r="R68" s="68"/>
      <c r="AB68" s="53"/>
      <c r="AC68" s="53"/>
      <c r="AD68" s="53"/>
      <c r="AE68" s="53"/>
      <c r="AF68" s="53"/>
      <c r="AG68" s="53"/>
      <c r="AH68" s="53"/>
      <c r="AI68" s="53"/>
    </row>
    <row r="69" spans="1:35" ht="22.5" customHeight="1" hidden="1">
      <c r="A69" s="66"/>
      <c r="B69" s="144" t="s">
        <v>124</v>
      </c>
      <c r="C69" s="83">
        <f>ClinicalCostsBasic!K25*Payout</f>
        <v>2263.2201024327783</v>
      </c>
      <c r="D69" s="83">
        <f>ClinicalCostsBasic!L25*Payout</f>
        <v>1194.4772762839664</v>
      </c>
      <c r="E69" s="77"/>
      <c r="F69" s="82">
        <f>C69-D69</f>
        <v>1068.742826148812</v>
      </c>
      <c r="G69" s="68"/>
      <c r="H69" s="68"/>
      <c r="I69" s="68"/>
      <c r="J69" s="68"/>
      <c r="K69" s="68"/>
      <c r="L69" s="68"/>
      <c r="M69" s="68"/>
      <c r="N69" s="68"/>
      <c r="O69" s="68"/>
      <c r="P69" s="68"/>
      <c r="Q69" s="68"/>
      <c r="R69" s="68"/>
      <c r="AB69" s="53"/>
      <c r="AC69" s="53"/>
      <c r="AD69" s="53"/>
      <c r="AE69" s="53"/>
      <c r="AF69" s="53"/>
      <c r="AG69" s="53"/>
      <c r="AH69" s="53"/>
      <c r="AI69" s="53"/>
    </row>
    <row r="70" spans="1:35" ht="27.75" customHeight="1" hidden="1">
      <c r="A70" s="66"/>
      <c r="B70" s="145" t="s">
        <v>266</v>
      </c>
      <c r="C70" s="82">
        <f>ClinicalCostsBasic!B124</f>
        <v>2664.5</v>
      </c>
      <c r="D70" s="82">
        <f>ClinicalCostsBasic!C124</f>
        <v>1332.25</v>
      </c>
      <c r="E70" s="77"/>
      <c r="F70" s="82">
        <f>C70-D70</f>
        <v>1332.25</v>
      </c>
      <c r="G70" s="68"/>
      <c r="H70" s="68"/>
      <c r="I70" s="68"/>
      <c r="J70" s="68"/>
      <c r="K70" s="68"/>
      <c r="L70" s="68"/>
      <c r="M70" s="68"/>
      <c r="N70" s="68"/>
      <c r="O70" s="68"/>
      <c r="P70" s="68"/>
      <c r="Q70" s="68"/>
      <c r="R70" s="68"/>
      <c r="AB70" s="53"/>
      <c r="AC70" s="53"/>
      <c r="AD70" s="53"/>
      <c r="AE70" s="53"/>
      <c r="AF70" s="53"/>
      <c r="AG70" s="53"/>
      <c r="AH70" s="53"/>
      <c r="AI70" s="53"/>
    </row>
    <row r="71" spans="1:35" ht="22.5" customHeight="1" hidden="1">
      <c r="A71" s="66"/>
      <c r="B71" s="145" t="s">
        <v>126</v>
      </c>
      <c r="C71" s="82">
        <f>(CMDryCurrentBas+CMMilkingCurrentBas)*LabourCost*TimePerCaseCM</f>
        <v>337.5</v>
      </c>
      <c r="D71" s="82">
        <f>(CMDryTargetBas+CMMilkingTargetBas)*LabourCost*TimePerCaseCM</f>
        <v>175.5</v>
      </c>
      <c r="E71" s="77"/>
      <c r="F71" s="82">
        <f>C71-D71</f>
        <v>162</v>
      </c>
      <c r="G71" s="68"/>
      <c r="H71" s="68"/>
      <c r="I71" s="68"/>
      <c r="J71" s="68"/>
      <c r="K71" s="68"/>
      <c r="L71" s="68"/>
      <c r="M71" s="68"/>
      <c r="N71" s="68"/>
      <c r="O71" s="68"/>
      <c r="P71" s="68"/>
      <c r="Q71" s="68"/>
      <c r="R71" s="68"/>
      <c r="AB71" s="53"/>
      <c r="AC71" s="53"/>
      <c r="AD71" s="53"/>
      <c r="AE71" s="53"/>
      <c r="AF71" s="53"/>
      <c r="AG71" s="53"/>
      <c r="AH71" s="53"/>
      <c r="AI71" s="53"/>
    </row>
    <row r="72" spans="1:18" s="55" customFormat="1" ht="9" customHeight="1">
      <c r="A72" s="66"/>
      <c r="B72" s="146"/>
      <c r="C72" s="120"/>
      <c r="D72" s="120"/>
      <c r="E72" s="119"/>
      <c r="F72" s="120"/>
      <c r="G72" s="68"/>
      <c r="H72" s="68"/>
      <c r="I72" s="68"/>
      <c r="J72" s="68"/>
      <c r="K72" s="68"/>
      <c r="L72" s="68"/>
      <c r="M72" s="68"/>
      <c r="N72" s="68"/>
      <c r="O72" s="68"/>
      <c r="P72" s="68"/>
      <c r="Q72" s="68"/>
      <c r="R72" s="68"/>
    </row>
    <row r="73" spans="1:35" ht="22.5" customHeight="1">
      <c r="A73" s="66"/>
      <c r="B73" s="178" t="s">
        <v>11</v>
      </c>
      <c r="C73" s="264">
        <f>SUM(C67:C71)</f>
        <v>8706.156081946223</v>
      </c>
      <c r="D73" s="264">
        <f>SUM(D67:D71)</f>
        <v>4496.401821027173</v>
      </c>
      <c r="E73" s="189"/>
      <c r="F73" s="264">
        <f>IF(SUM(F67:F71)&lt;0,FLOOR(SUM(F67:F71),-100),FLOOR(SUM(F67:F71),100))</f>
        <v>4200</v>
      </c>
      <c r="G73" s="68"/>
      <c r="H73" s="68"/>
      <c r="I73" s="68"/>
      <c r="J73" s="68"/>
      <c r="K73" s="68"/>
      <c r="L73" s="68"/>
      <c r="M73" s="68"/>
      <c r="N73" s="68"/>
      <c r="O73" s="68"/>
      <c r="P73" s="68"/>
      <c r="Q73" s="68"/>
      <c r="R73" s="68"/>
      <c r="AB73" s="53"/>
      <c r="AC73" s="53"/>
      <c r="AD73" s="53"/>
      <c r="AE73" s="53"/>
      <c r="AF73" s="53"/>
      <c r="AG73" s="53"/>
      <c r="AH73" s="53"/>
      <c r="AI73" s="53"/>
    </row>
    <row r="74" spans="1:18" s="55" customFormat="1" ht="9" customHeight="1">
      <c r="A74" s="66"/>
      <c r="B74" s="131"/>
      <c r="C74" s="56"/>
      <c r="D74" s="122"/>
      <c r="E74" s="122"/>
      <c r="F74" s="122"/>
      <c r="G74" s="76"/>
      <c r="H74" s="68"/>
      <c r="I74" s="68"/>
      <c r="J74" s="68"/>
      <c r="K74" s="68"/>
      <c r="L74" s="68"/>
      <c r="M74" s="68"/>
      <c r="N74" s="68"/>
      <c r="O74" s="68"/>
      <c r="P74" s="68"/>
      <c r="Q74" s="68"/>
      <c r="R74" s="68"/>
    </row>
    <row r="75" spans="1:18" s="55" customFormat="1" ht="30" customHeight="1">
      <c r="A75" s="66"/>
      <c r="B75" s="273" t="s">
        <v>133</v>
      </c>
      <c r="C75" s="273"/>
      <c r="D75" s="273"/>
      <c r="E75" s="273"/>
      <c r="F75" s="274"/>
      <c r="G75" s="76"/>
      <c r="H75" s="68"/>
      <c r="I75" s="68"/>
      <c r="J75" s="68"/>
      <c r="K75" s="68"/>
      <c r="L75" s="68"/>
      <c r="M75" s="68"/>
      <c r="N75" s="68"/>
      <c r="O75" s="68"/>
      <c r="P75" s="68"/>
      <c r="Q75" s="68"/>
      <c r="R75" s="68"/>
    </row>
    <row r="76" spans="1:18" s="64" customFormat="1" ht="9" customHeight="1">
      <c r="A76" s="154"/>
      <c r="B76" s="168"/>
      <c r="C76" s="169"/>
      <c r="D76" s="170"/>
      <c r="E76" s="170"/>
      <c r="F76" s="169"/>
      <c r="G76" s="72"/>
      <c r="H76" s="72"/>
      <c r="I76" s="72"/>
      <c r="J76" s="72"/>
      <c r="K76" s="72"/>
      <c r="L76" s="72"/>
      <c r="M76" s="72"/>
      <c r="N76" s="72"/>
      <c r="O76" s="72"/>
      <c r="P76" s="72"/>
      <c r="Q76" s="72"/>
      <c r="R76" s="72"/>
    </row>
    <row r="77" spans="1:35" ht="22.5" customHeight="1">
      <c r="A77" s="66"/>
      <c r="B77" s="147" t="s">
        <v>205</v>
      </c>
      <c r="C77" s="105">
        <v>10</v>
      </c>
      <c r="D77" s="130">
        <v>5</v>
      </c>
      <c r="E77" s="134"/>
      <c r="F77" s="134"/>
      <c r="G77" s="68"/>
      <c r="H77" s="68"/>
      <c r="I77" s="68"/>
      <c r="J77" s="68"/>
      <c r="K77" s="68"/>
      <c r="L77" s="68"/>
      <c r="M77" s="68"/>
      <c r="N77" s="68"/>
      <c r="O77" s="68"/>
      <c r="P77" s="68"/>
      <c r="Q77" s="68"/>
      <c r="R77" s="68"/>
      <c r="AB77" s="53"/>
      <c r="AC77" s="53"/>
      <c r="AD77" s="53"/>
      <c r="AE77" s="53"/>
      <c r="AF77" s="53"/>
      <c r="AG77" s="53"/>
      <c r="AH77" s="53"/>
      <c r="AI77" s="53"/>
    </row>
    <row r="78" spans="1:35" ht="22.5" customHeight="1" hidden="1">
      <c r="A78" s="66"/>
      <c r="B78" s="142" t="s">
        <v>144</v>
      </c>
      <c r="C78" s="94">
        <v>0</v>
      </c>
      <c r="D78" s="94">
        <v>0</v>
      </c>
      <c r="E78" s="133"/>
      <c r="F78" s="80"/>
      <c r="G78" s="68"/>
      <c r="H78" s="68"/>
      <c r="I78" s="68"/>
      <c r="J78" s="68"/>
      <c r="K78" s="68"/>
      <c r="L78" s="68"/>
      <c r="M78" s="68"/>
      <c r="N78" s="68"/>
      <c r="O78" s="68"/>
      <c r="P78" s="68"/>
      <c r="Q78" s="68"/>
      <c r="R78" s="68"/>
      <c r="AB78" s="53"/>
      <c r="AC78" s="53"/>
      <c r="AD78" s="53"/>
      <c r="AE78" s="53"/>
      <c r="AF78" s="53"/>
      <c r="AG78" s="53"/>
      <c r="AH78" s="53"/>
      <c r="AI78" s="53"/>
    </row>
    <row r="79" spans="1:18" s="64" customFormat="1" ht="9" customHeight="1">
      <c r="A79" s="154"/>
      <c r="B79" s="168"/>
      <c r="C79" s="169"/>
      <c r="D79" s="170"/>
      <c r="E79" s="170"/>
      <c r="F79" s="169"/>
      <c r="G79" s="72"/>
      <c r="H79" s="72"/>
      <c r="I79" s="72"/>
      <c r="J79" s="72"/>
      <c r="K79" s="72"/>
      <c r="L79" s="72"/>
      <c r="M79" s="72"/>
      <c r="N79" s="72"/>
      <c r="O79" s="72"/>
      <c r="P79" s="72"/>
      <c r="Q79" s="72"/>
      <c r="R79" s="72"/>
    </row>
    <row r="80" spans="1:35" ht="22.5" customHeight="1">
      <c r="A80" s="66"/>
      <c r="B80" s="140" t="s">
        <v>206</v>
      </c>
      <c r="C80" s="121">
        <v>2</v>
      </c>
      <c r="D80" s="121">
        <v>1</v>
      </c>
      <c r="E80" s="127"/>
      <c r="F80" s="127"/>
      <c r="G80" s="68"/>
      <c r="H80" s="68"/>
      <c r="I80" s="68"/>
      <c r="J80" s="68"/>
      <c r="K80" s="68"/>
      <c r="L80" s="68"/>
      <c r="M80" s="68"/>
      <c r="N80" s="68"/>
      <c r="O80" s="68"/>
      <c r="P80" s="68"/>
      <c r="Q80" s="68"/>
      <c r="R80" s="68"/>
      <c r="AB80" s="53"/>
      <c r="AC80" s="53"/>
      <c r="AD80" s="53"/>
      <c r="AE80" s="53"/>
      <c r="AF80" s="53"/>
      <c r="AG80" s="53"/>
      <c r="AH80" s="53"/>
      <c r="AI80" s="53"/>
    </row>
    <row r="81" spans="1:35" ht="22.5" customHeight="1" hidden="1">
      <c r="A81" s="66"/>
      <c r="B81" s="143" t="s">
        <v>61</v>
      </c>
      <c r="C81" s="80"/>
      <c r="D81" s="95">
        <v>0</v>
      </c>
      <c r="E81" s="80"/>
      <c r="F81" s="80"/>
      <c r="G81" s="68"/>
      <c r="H81" s="68"/>
      <c r="I81" s="68"/>
      <c r="J81" s="68"/>
      <c r="K81" s="68"/>
      <c r="L81" s="68"/>
      <c r="M81" s="68"/>
      <c r="N81" s="68"/>
      <c r="O81" s="68"/>
      <c r="P81" s="68"/>
      <c r="Q81" s="68"/>
      <c r="R81" s="68"/>
      <c r="AB81" s="53"/>
      <c r="AC81" s="53"/>
      <c r="AD81" s="53"/>
      <c r="AE81" s="53"/>
      <c r="AF81" s="53"/>
      <c r="AG81" s="53"/>
      <c r="AH81" s="53"/>
      <c r="AI81" s="53"/>
    </row>
    <row r="82" spans="1:35" ht="22.5" customHeight="1" hidden="1">
      <c r="A82" s="66"/>
      <c r="B82" s="143" t="s">
        <v>9</v>
      </c>
      <c r="C82" s="80"/>
      <c r="D82" s="95">
        <v>0</v>
      </c>
      <c r="E82" s="80"/>
      <c r="F82" s="80"/>
      <c r="G82" s="68"/>
      <c r="H82" s="68"/>
      <c r="I82" s="68"/>
      <c r="J82" s="68"/>
      <c r="K82" s="68"/>
      <c r="L82" s="68"/>
      <c r="M82" s="68"/>
      <c r="N82" s="68"/>
      <c r="O82" s="68"/>
      <c r="P82" s="68"/>
      <c r="Q82" s="68"/>
      <c r="R82" s="68"/>
      <c r="AB82" s="53"/>
      <c r="AC82" s="53"/>
      <c r="AD82" s="53"/>
      <c r="AE82" s="53"/>
      <c r="AF82" s="53"/>
      <c r="AG82" s="53"/>
      <c r="AH82" s="53"/>
      <c r="AI82" s="53"/>
    </row>
    <row r="83" spans="1:18" s="55" customFormat="1" ht="9" customHeight="1">
      <c r="A83" s="66"/>
      <c r="B83" s="148"/>
      <c r="C83" s="132"/>
      <c r="D83" s="136"/>
      <c r="E83" s="132"/>
      <c r="F83" s="132"/>
      <c r="G83" s="68"/>
      <c r="H83" s="68"/>
      <c r="I83" s="68"/>
      <c r="J83" s="68"/>
      <c r="K83" s="68"/>
      <c r="L83" s="68"/>
      <c r="M83" s="68"/>
      <c r="N83" s="68"/>
      <c r="O83" s="68"/>
      <c r="P83" s="68"/>
      <c r="Q83" s="68"/>
      <c r="R83" s="68"/>
    </row>
    <row r="84" spans="1:35" ht="22.5" customHeight="1">
      <c r="A84" s="66"/>
      <c r="B84" s="149" t="s">
        <v>200</v>
      </c>
      <c r="C84" s="138">
        <f>(C77+C80)/C19</f>
        <v>0.024</v>
      </c>
      <c r="D84" s="138">
        <f>(D77+D80)/D19</f>
        <v>0.012</v>
      </c>
      <c r="E84" s="138" t="s">
        <v>167</v>
      </c>
      <c r="F84" s="139"/>
      <c r="G84" s="68"/>
      <c r="H84" s="68"/>
      <c r="I84" s="68"/>
      <c r="J84" s="68"/>
      <c r="K84" s="68"/>
      <c r="L84" s="68"/>
      <c r="M84" s="68"/>
      <c r="N84" s="68"/>
      <c r="O84" s="68"/>
      <c r="P84" s="68"/>
      <c r="Q84" s="68"/>
      <c r="R84" s="68"/>
      <c r="AB84" s="53"/>
      <c r="AC84" s="53"/>
      <c r="AD84" s="53"/>
      <c r="AE84" s="53"/>
      <c r="AF84" s="53"/>
      <c r="AG84" s="53"/>
      <c r="AH84" s="53"/>
      <c r="AI84" s="53"/>
    </row>
    <row r="85" spans="1:35" ht="22.5" customHeight="1" hidden="1">
      <c r="A85" s="66"/>
      <c r="B85" s="108" t="s">
        <v>162</v>
      </c>
      <c r="C85" s="79">
        <f>CullMastNumCurrentBas*(ReplacementCost-CullValue)+(DiedMastNumCurrentBas*ReplacementCost)</f>
        <v>12000</v>
      </c>
      <c r="D85" s="79">
        <f>CullMastNumTargetBas*(ReplacementCost-CullValue)+(DiedMastNumTargetBas*ReplacementCost)</f>
        <v>6000</v>
      </c>
      <c r="E85" s="80"/>
      <c r="F85" s="79">
        <f>C85-D85</f>
        <v>6000</v>
      </c>
      <c r="G85" s="68"/>
      <c r="H85" s="68"/>
      <c r="I85" s="68"/>
      <c r="J85" s="68"/>
      <c r="K85" s="68"/>
      <c r="L85" s="68"/>
      <c r="M85" s="68"/>
      <c r="N85" s="68"/>
      <c r="O85" s="68"/>
      <c r="P85" s="68"/>
      <c r="Q85" s="68"/>
      <c r="R85" s="68"/>
      <c r="AB85" s="53"/>
      <c r="AC85" s="53"/>
      <c r="AD85" s="53"/>
      <c r="AE85" s="53"/>
      <c r="AF85" s="53"/>
      <c r="AG85" s="53"/>
      <c r="AH85" s="53"/>
      <c r="AI85" s="53"/>
    </row>
    <row r="86" spans="1:35" ht="22.5" customHeight="1" hidden="1">
      <c r="A86" s="66"/>
      <c r="B86" s="108" t="s">
        <v>163</v>
      </c>
      <c r="C86" s="79">
        <f>CullingCostsBasic!B17</f>
        <v>5187</v>
      </c>
      <c r="D86" s="79">
        <f>CullingCostsBasic!C17</f>
        <v>2593.5</v>
      </c>
      <c r="E86" s="80"/>
      <c r="F86" s="79">
        <f>C86-D86</f>
        <v>2593.5</v>
      </c>
      <c r="G86" s="68"/>
      <c r="H86" s="68"/>
      <c r="I86" s="68"/>
      <c r="J86" s="68"/>
      <c r="K86" s="68"/>
      <c r="L86" s="68"/>
      <c r="M86" s="68"/>
      <c r="N86" s="68"/>
      <c r="O86" s="68"/>
      <c r="P86" s="68"/>
      <c r="Q86" s="68"/>
      <c r="R86" s="68"/>
      <c r="AB86" s="53"/>
      <c r="AC86" s="53"/>
      <c r="AD86" s="53"/>
      <c r="AE86" s="53"/>
      <c r="AF86" s="53"/>
      <c r="AG86" s="53"/>
      <c r="AH86" s="53"/>
      <c r="AI86" s="53"/>
    </row>
    <row r="87" spans="1:35" ht="22.5" customHeight="1" hidden="1">
      <c r="A87" s="66"/>
      <c r="B87" s="110" t="s">
        <v>164</v>
      </c>
      <c r="C87" s="79">
        <f>DiedMastNumCurrentBas*(ProdCurrent/CalvedNoTotalCurrent)*Payout</f>
        <v>4550</v>
      </c>
      <c r="D87" s="79">
        <f>DiedMastNumTargetBas*(ProdTarget/CalvedNoTotalTarget)*Payout</f>
        <v>2275</v>
      </c>
      <c r="E87" s="80"/>
      <c r="F87" s="79">
        <f>C87-D87</f>
        <v>2275</v>
      </c>
      <c r="G87" s="68"/>
      <c r="H87" s="68"/>
      <c r="I87" s="68"/>
      <c r="J87" s="68"/>
      <c r="K87" s="68"/>
      <c r="L87" s="68"/>
      <c r="M87" s="68"/>
      <c r="N87" s="68"/>
      <c r="O87" s="68"/>
      <c r="P87" s="68"/>
      <c r="Q87" s="68"/>
      <c r="R87" s="68"/>
      <c r="AB87" s="53"/>
      <c r="AC87" s="53"/>
      <c r="AD87" s="53"/>
      <c r="AE87" s="53"/>
      <c r="AF87" s="53"/>
      <c r="AG87" s="53"/>
      <c r="AH87" s="53"/>
      <c r="AI87" s="53"/>
    </row>
    <row r="88" spans="1:35" ht="22.5" customHeight="1" hidden="1">
      <c r="A88" s="66"/>
      <c r="B88" s="108" t="s">
        <v>165</v>
      </c>
      <c r="C88" s="79">
        <f>CullingCostsBasic!B7</f>
        <v>0</v>
      </c>
      <c r="D88" s="79">
        <f>CullingCostsBasic!C7</f>
        <v>0</v>
      </c>
      <c r="E88" s="80"/>
      <c r="F88" s="79">
        <f>C88-D88</f>
        <v>0</v>
      </c>
      <c r="G88" s="68"/>
      <c r="H88" s="68"/>
      <c r="I88" s="68"/>
      <c r="J88" s="68"/>
      <c r="K88" s="68"/>
      <c r="L88" s="68"/>
      <c r="M88" s="68"/>
      <c r="N88" s="68"/>
      <c r="O88" s="68"/>
      <c r="P88" s="68"/>
      <c r="Q88" s="68"/>
      <c r="R88" s="68"/>
      <c r="AB88" s="53"/>
      <c r="AC88" s="53"/>
      <c r="AD88" s="53"/>
      <c r="AE88" s="53"/>
      <c r="AF88" s="53"/>
      <c r="AG88" s="53"/>
      <c r="AH88" s="53"/>
      <c r="AI88" s="53"/>
    </row>
    <row r="89" spans="1:35" ht="22.5" customHeight="1" hidden="1">
      <c r="A89" s="66"/>
      <c r="B89" s="108" t="s">
        <v>166</v>
      </c>
      <c r="C89" s="96">
        <f>CullingCostsBasic!B13</f>
        <v>0</v>
      </c>
      <c r="D89" s="96">
        <f>CullingCostsBasic!C13</f>
        <v>0</v>
      </c>
      <c r="E89" s="80"/>
      <c r="F89" s="79">
        <f>C89-D89</f>
        <v>0</v>
      </c>
      <c r="G89" s="68"/>
      <c r="H89" s="68"/>
      <c r="I89" s="68"/>
      <c r="J89" s="68"/>
      <c r="K89" s="68"/>
      <c r="L89" s="68"/>
      <c r="M89" s="68"/>
      <c r="N89" s="68"/>
      <c r="O89" s="68"/>
      <c r="P89" s="68"/>
      <c r="Q89" s="68"/>
      <c r="R89" s="68"/>
      <c r="AB89" s="53"/>
      <c r="AC89" s="53"/>
      <c r="AD89" s="53"/>
      <c r="AE89" s="53"/>
      <c r="AF89" s="53"/>
      <c r="AG89" s="53"/>
      <c r="AH89" s="53"/>
      <c r="AI89" s="53"/>
    </row>
    <row r="90" spans="1:18" s="55" customFormat="1" ht="9" customHeight="1">
      <c r="A90" s="66"/>
      <c r="B90" s="117"/>
      <c r="C90" s="137"/>
      <c r="D90" s="137"/>
      <c r="E90" s="135"/>
      <c r="F90" s="150"/>
      <c r="G90" s="68"/>
      <c r="H90" s="68"/>
      <c r="I90" s="68"/>
      <c r="J90" s="68"/>
      <c r="K90" s="68"/>
      <c r="L90" s="68"/>
      <c r="M90" s="68"/>
      <c r="N90" s="68"/>
      <c r="O90" s="68"/>
      <c r="P90" s="68"/>
      <c r="Q90" s="68"/>
      <c r="R90" s="68"/>
    </row>
    <row r="91" spans="1:35" ht="22.5" customHeight="1">
      <c r="A91" s="66"/>
      <c r="B91" s="178" t="s">
        <v>11</v>
      </c>
      <c r="C91" s="260">
        <f>SUM(C85:C89)</f>
        <v>21737</v>
      </c>
      <c r="D91" s="260">
        <f>SUM(D85:D89)</f>
        <v>10868.5</v>
      </c>
      <c r="E91" s="192"/>
      <c r="F91" s="260">
        <f>IF(SUM(F85:F89)&lt;0,FLOOR(SUM(F85:F89),-100),FLOOR(SUM(F85:F89),100))</f>
        <v>10800</v>
      </c>
      <c r="G91" s="68"/>
      <c r="H91" s="68"/>
      <c r="I91" s="68"/>
      <c r="J91" s="68"/>
      <c r="K91" s="68"/>
      <c r="L91" s="68"/>
      <c r="M91" s="68"/>
      <c r="N91" s="68"/>
      <c r="O91" s="68"/>
      <c r="P91" s="68"/>
      <c r="Q91" s="68"/>
      <c r="R91" s="68"/>
      <c r="AB91" s="53"/>
      <c r="AC91" s="53"/>
      <c r="AD91" s="53"/>
      <c r="AE91" s="53"/>
      <c r="AF91" s="53"/>
      <c r="AG91" s="53"/>
      <c r="AH91" s="53"/>
      <c r="AI91" s="53"/>
    </row>
    <row r="92" spans="1:18" s="55" customFormat="1" ht="9" customHeight="1">
      <c r="A92" s="66"/>
      <c r="B92" s="131"/>
      <c r="C92" s="122"/>
      <c r="D92" s="56"/>
      <c r="E92" s="122"/>
      <c r="F92" s="122"/>
      <c r="G92" s="76"/>
      <c r="H92" s="68"/>
      <c r="I92" s="68"/>
      <c r="J92" s="68"/>
      <c r="K92" s="68"/>
      <c r="L92" s="68"/>
      <c r="M92" s="68"/>
      <c r="N92" s="68"/>
      <c r="O92" s="68"/>
      <c r="P92" s="68"/>
      <c r="Q92" s="68"/>
      <c r="R92" s="68"/>
    </row>
    <row r="93" spans="1:35" ht="22.5" customHeight="1">
      <c r="A93" s="66"/>
      <c r="B93" s="123" t="s">
        <v>128</v>
      </c>
      <c r="C93" s="260">
        <f>C35+C73+C91</f>
        <v>68305.65608194622</v>
      </c>
      <c r="D93" s="260">
        <f>D35+D73+D91</f>
        <v>29339.901821027175</v>
      </c>
      <c r="E93" s="151"/>
      <c r="F93" s="260">
        <f>SUM(F35,F73,F91)</f>
        <v>38800</v>
      </c>
      <c r="G93" s="68"/>
      <c r="H93" s="68"/>
      <c r="I93" s="68"/>
      <c r="J93" s="68"/>
      <c r="K93" s="68"/>
      <c r="L93" s="68"/>
      <c r="M93" s="68"/>
      <c r="N93" s="68"/>
      <c r="O93" s="68"/>
      <c r="P93" s="68"/>
      <c r="Q93" s="68"/>
      <c r="R93" s="68"/>
      <c r="AB93" s="53"/>
      <c r="AC93" s="53"/>
      <c r="AD93" s="53"/>
      <c r="AE93" s="53"/>
      <c r="AF93" s="53"/>
      <c r="AG93" s="53"/>
      <c r="AH93" s="53"/>
      <c r="AI93" s="53"/>
    </row>
    <row r="94" spans="1:35" ht="22.5" customHeight="1">
      <c r="A94" s="66"/>
      <c r="B94" s="131"/>
      <c r="C94" s="122"/>
      <c r="D94" s="122"/>
      <c r="E94" s="122"/>
      <c r="F94" s="122"/>
      <c r="G94" s="68"/>
      <c r="H94" s="68"/>
      <c r="I94" s="68"/>
      <c r="J94" s="68"/>
      <c r="K94" s="68"/>
      <c r="L94" s="68"/>
      <c r="M94" s="68"/>
      <c r="N94" s="68"/>
      <c r="O94" s="68"/>
      <c r="P94" s="68"/>
      <c r="Q94" s="68"/>
      <c r="R94" s="68"/>
      <c r="AB94" s="53"/>
      <c r="AC94" s="53"/>
      <c r="AD94" s="53"/>
      <c r="AE94" s="53"/>
      <c r="AF94" s="53"/>
      <c r="AG94" s="53"/>
      <c r="AH94" s="53"/>
      <c r="AI94" s="53"/>
    </row>
    <row r="95" spans="1:35" ht="22.5" customHeight="1">
      <c r="A95" s="66"/>
      <c r="B95" s="106"/>
      <c r="C95" s="153"/>
      <c r="D95" s="153"/>
      <c r="E95" s="153"/>
      <c r="F95" s="153"/>
      <c r="G95" s="68"/>
      <c r="H95" s="68"/>
      <c r="I95" s="68"/>
      <c r="J95" s="68"/>
      <c r="K95" s="68"/>
      <c r="L95" s="68"/>
      <c r="M95" s="68"/>
      <c r="N95" s="68"/>
      <c r="O95" s="68"/>
      <c r="P95" s="68"/>
      <c r="Q95" s="68"/>
      <c r="R95" s="68"/>
      <c r="AB95" s="53"/>
      <c r="AC95" s="53"/>
      <c r="AD95" s="53"/>
      <c r="AE95" s="53"/>
      <c r="AF95" s="53"/>
      <c r="AG95" s="53"/>
      <c r="AH95" s="53"/>
      <c r="AI95" s="53"/>
    </row>
    <row r="96" spans="1:35" ht="22.5" customHeight="1">
      <c r="A96" s="66"/>
      <c r="B96" s="152"/>
      <c r="C96" s="153"/>
      <c r="D96" s="153"/>
      <c r="E96" s="153"/>
      <c r="F96" s="153"/>
      <c r="G96" s="68"/>
      <c r="H96" s="68"/>
      <c r="I96" s="68"/>
      <c r="J96" s="68"/>
      <c r="K96" s="68"/>
      <c r="L96" s="68"/>
      <c r="M96" s="68"/>
      <c r="N96" s="68"/>
      <c r="O96" s="68"/>
      <c r="P96" s="68"/>
      <c r="Q96" s="68"/>
      <c r="R96" s="68"/>
      <c r="AB96" s="53"/>
      <c r="AC96" s="53"/>
      <c r="AD96" s="53"/>
      <c r="AE96" s="53"/>
      <c r="AF96" s="53"/>
      <c r="AG96" s="53"/>
      <c r="AH96" s="53"/>
      <c r="AI96" s="53"/>
    </row>
    <row r="97" spans="2:18" s="55" customFormat="1" ht="15">
      <c r="B97" s="66"/>
      <c r="C97" s="76"/>
      <c r="D97" s="76"/>
      <c r="E97" s="76"/>
      <c r="F97" s="76"/>
      <c r="G97" s="68"/>
      <c r="H97" s="68"/>
      <c r="I97" s="68"/>
      <c r="J97" s="68"/>
      <c r="K97" s="68"/>
      <c r="L97" s="68"/>
      <c r="M97" s="68"/>
      <c r="N97" s="68"/>
      <c r="O97" s="68"/>
      <c r="P97" s="68"/>
      <c r="Q97" s="68"/>
      <c r="R97" s="68"/>
    </row>
    <row r="98" spans="2:18" s="55" customFormat="1" ht="15">
      <c r="B98" s="68"/>
      <c r="C98" s="68"/>
      <c r="D98" s="68"/>
      <c r="E98" s="68"/>
      <c r="F98" s="76"/>
      <c r="G98" s="68"/>
      <c r="H98" s="68"/>
      <c r="I98" s="68"/>
      <c r="J98" s="68"/>
      <c r="K98" s="68"/>
      <c r="L98" s="68"/>
      <c r="M98" s="68"/>
      <c r="N98" s="68"/>
      <c r="O98" s="68"/>
      <c r="P98" s="68"/>
      <c r="Q98" s="68"/>
      <c r="R98" s="68"/>
    </row>
    <row r="99" spans="2:18" s="55" customFormat="1" ht="15">
      <c r="B99" s="68"/>
      <c r="C99" s="68"/>
      <c r="D99" s="68"/>
      <c r="E99" s="68"/>
      <c r="F99" s="68"/>
      <c r="G99" s="68"/>
      <c r="H99" s="68"/>
      <c r="I99" s="68"/>
      <c r="J99" s="68"/>
      <c r="K99" s="68"/>
      <c r="L99" s="68"/>
      <c r="M99" s="68"/>
      <c r="N99" s="68"/>
      <c r="O99" s="68"/>
      <c r="P99" s="68"/>
      <c r="Q99" s="68"/>
      <c r="R99" s="68"/>
    </row>
    <row r="100" spans="2:18" s="55" customFormat="1" ht="1.5" customHeight="1">
      <c r="B100" s="276"/>
      <c r="C100" s="276"/>
      <c r="D100" s="276"/>
      <c r="E100" s="276"/>
      <c r="F100" s="276"/>
      <c r="G100" s="68"/>
      <c r="H100" s="68"/>
      <c r="I100" s="68"/>
      <c r="J100" s="68"/>
      <c r="K100" s="68"/>
      <c r="L100" s="68"/>
      <c r="M100" s="68"/>
      <c r="N100" s="68"/>
      <c r="O100" s="68"/>
      <c r="P100" s="68"/>
      <c r="Q100" s="68"/>
      <c r="R100" s="68"/>
    </row>
    <row r="101" spans="2:18" s="55" customFormat="1" ht="15">
      <c r="B101" s="68"/>
      <c r="C101" s="68"/>
      <c r="D101" s="68"/>
      <c r="E101" s="68"/>
      <c r="F101" s="68"/>
      <c r="G101" s="68"/>
      <c r="H101" s="68"/>
      <c r="I101" s="68"/>
      <c r="J101" s="68"/>
      <c r="K101" s="68"/>
      <c r="L101" s="68"/>
      <c r="M101" s="68"/>
      <c r="N101" s="68"/>
      <c r="O101" s="68"/>
      <c r="P101" s="68"/>
      <c r="Q101" s="68"/>
      <c r="R101" s="68"/>
    </row>
    <row r="102" spans="2:18" s="55" customFormat="1" ht="15">
      <c r="B102" s="68"/>
      <c r="C102" s="68"/>
      <c r="D102" s="68"/>
      <c r="E102" s="68"/>
      <c r="F102" s="68"/>
      <c r="G102" s="68"/>
      <c r="H102" s="68"/>
      <c r="I102" s="68"/>
      <c r="J102" s="68"/>
      <c r="K102" s="68"/>
      <c r="L102" s="68"/>
      <c r="M102" s="68"/>
      <c r="N102" s="68"/>
      <c r="O102" s="68"/>
      <c r="P102" s="68"/>
      <c r="Q102" s="68"/>
      <c r="R102" s="68"/>
    </row>
    <row r="103" spans="2:18" s="55" customFormat="1" ht="15">
      <c r="B103" s="68"/>
      <c r="C103" s="68"/>
      <c r="D103" s="68"/>
      <c r="E103" s="68"/>
      <c r="F103" s="68"/>
      <c r="G103" s="68"/>
      <c r="H103" s="68"/>
      <c r="I103" s="68"/>
      <c r="J103" s="68"/>
      <c r="K103" s="68"/>
      <c r="L103" s="68"/>
      <c r="M103" s="68"/>
      <c r="N103" s="68"/>
      <c r="O103" s="68"/>
      <c r="P103" s="68"/>
      <c r="Q103" s="68"/>
      <c r="R103" s="68"/>
    </row>
    <row r="104" spans="2:18" s="55" customFormat="1" ht="15">
      <c r="B104" s="68"/>
      <c r="C104" s="68"/>
      <c r="D104" s="68"/>
      <c r="E104" s="68"/>
      <c r="F104" s="68"/>
      <c r="G104" s="68"/>
      <c r="H104" s="68"/>
      <c r="I104" s="68"/>
      <c r="J104" s="68"/>
      <c r="K104" s="68"/>
      <c r="L104" s="68"/>
      <c r="M104" s="68"/>
      <c r="N104" s="68"/>
      <c r="O104" s="68"/>
      <c r="P104" s="68"/>
      <c r="Q104" s="68"/>
      <c r="R104" s="68"/>
    </row>
    <row r="105" spans="2:18" s="55" customFormat="1" ht="15">
      <c r="B105" s="68"/>
      <c r="C105" s="68"/>
      <c r="D105" s="68"/>
      <c r="E105" s="68"/>
      <c r="F105" s="68"/>
      <c r="G105" s="68"/>
      <c r="H105" s="68"/>
      <c r="I105" s="68"/>
      <c r="J105" s="68"/>
      <c r="K105" s="68"/>
      <c r="L105" s="68"/>
      <c r="M105" s="68"/>
      <c r="N105" s="68"/>
      <c r="O105" s="68"/>
      <c r="P105" s="68"/>
      <c r="Q105" s="68"/>
      <c r="R105" s="68"/>
    </row>
    <row r="106" spans="2:18" s="55" customFormat="1" ht="15">
      <c r="B106" s="68"/>
      <c r="C106" s="68"/>
      <c r="D106" s="68"/>
      <c r="E106" s="68"/>
      <c r="F106" s="68"/>
      <c r="G106" s="68"/>
      <c r="H106" s="68"/>
      <c r="I106" s="68"/>
      <c r="J106" s="68"/>
      <c r="K106" s="68"/>
      <c r="L106" s="68"/>
      <c r="M106" s="68"/>
      <c r="N106" s="68"/>
      <c r="O106" s="68"/>
      <c r="P106" s="68"/>
      <c r="Q106" s="68"/>
      <c r="R106" s="68"/>
    </row>
    <row r="107" spans="2:18" s="55" customFormat="1" ht="15">
      <c r="B107" s="68"/>
      <c r="C107" s="68"/>
      <c r="D107" s="68"/>
      <c r="E107" s="68"/>
      <c r="F107" s="68"/>
      <c r="G107" s="68"/>
      <c r="H107" s="68"/>
      <c r="I107" s="68"/>
      <c r="J107" s="68"/>
      <c r="K107" s="68"/>
      <c r="L107" s="68"/>
      <c r="M107" s="68"/>
      <c r="N107" s="68"/>
      <c r="O107" s="68"/>
      <c r="P107" s="68"/>
      <c r="Q107" s="68"/>
      <c r="R107" s="68"/>
    </row>
    <row r="108" spans="2:18" s="55" customFormat="1" ht="15">
      <c r="B108" s="68"/>
      <c r="C108" s="68"/>
      <c r="D108" s="68"/>
      <c r="E108" s="68"/>
      <c r="F108" s="68"/>
      <c r="G108" s="68"/>
      <c r="H108" s="68"/>
      <c r="I108" s="68"/>
      <c r="J108" s="68"/>
      <c r="K108" s="68"/>
      <c r="L108" s="68"/>
      <c r="M108" s="68"/>
      <c r="N108" s="68"/>
      <c r="O108" s="68"/>
      <c r="P108" s="68"/>
      <c r="Q108" s="68"/>
      <c r="R108" s="68"/>
    </row>
    <row r="109" spans="2:18" s="55" customFormat="1" ht="15">
      <c r="B109" s="68"/>
      <c r="C109" s="68"/>
      <c r="D109" s="68"/>
      <c r="E109" s="68"/>
      <c r="F109" s="68"/>
      <c r="G109" s="68"/>
      <c r="H109" s="68"/>
      <c r="I109" s="68"/>
      <c r="J109" s="68"/>
      <c r="K109" s="68"/>
      <c r="L109" s="68"/>
      <c r="M109" s="68"/>
      <c r="N109" s="68"/>
      <c r="O109" s="68"/>
      <c r="P109" s="68"/>
      <c r="Q109" s="68"/>
      <c r="R109" s="68"/>
    </row>
    <row r="110" spans="2:18" s="55" customFormat="1" ht="15">
      <c r="B110" s="68"/>
      <c r="C110" s="68"/>
      <c r="D110" s="68"/>
      <c r="E110" s="68"/>
      <c r="F110" s="68"/>
      <c r="G110" s="68"/>
      <c r="H110" s="68"/>
      <c r="I110" s="68"/>
      <c r="J110" s="68"/>
      <c r="K110" s="68"/>
      <c r="L110" s="68"/>
      <c r="M110" s="68"/>
      <c r="N110" s="68"/>
      <c r="O110" s="68"/>
      <c r="P110" s="68"/>
      <c r="Q110" s="68"/>
      <c r="R110" s="68"/>
    </row>
    <row r="111" spans="2:18" s="55" customFormat="1" ht="15">
      <c r="B111" s="68"/>
      <c r="C111" s="68"/>
      <c r="D111" s="68"/>
      <c r="E111" s="68"/>
      <c r="F111" s="68"/>
      <c r="G111" s="68"/>
      <c r="H111" s="68"/>
      <c r="I111" s="68"/>
      <c r="J111" s="68"/>
      <c r="K111" s="68"/>
      <c r="L111" s="68"/>
      <c r="M111" s="68"/>
      <c r="N111" s="68"/>
      <c r="O111" s="68"/>
      <c r="P111" s="68"/>
      <c r="Q111" s="68"/>
      <c r="R111" s="68"/>
    </row>
    <row r="112" spans="2:18" s="55" customFormat="1" ht="15">
      <c r="B112" s="68"/>
      <c r="C112" s="68"/>
      <c r="D112" s="68"/>
      <c r="E112" s="68"/>
      <c r="F112" s="68"/>
      <c r="G112" s="68"/>
      <c r="H112" s="68"/>
      <c r="I112" s="68"/>
      <c r="J112" s="68"/>
      <c r="K112" s="68"/>
      <c r="L112" s="68"/>
      <c r="M112" s="68"/>
      <c r="N112" s="68"/>
      <c r="O112" s="68"/>
      <c r="P112" s="68"/>
      <c r="Q112" s="68"/>
      <c r="R112" s="68"/>
    </row>
    <row r="113" spans="2:18" s="55" customFormat="1" ht="15">
      <c r="B113" s="68"/>
      <c r="C113" s="68"/>
      <c r="D113" s="68"/>
      <c r="E113" s="68"/>
      <c r="F113" s="68"/>
      <c r="G113" s="68"/>
      <c r="H113" s="68"/>
      <c r="I113" s="68"/>
      <c r="J113" s="68"/>
      <c r="K113" s="68"/>
      <c r="L113" s="68"/>
      <c r="M113" s="68"/>
      <c r="N113" s="68"/>
      <c r="O113" s="68"/>
      <c r="P113" s="68"/>
      <c r="Q113" s="68"/>
      <c r="R113" s="68"/>
    </row>
    <row r="114" spans="2:18" s="55" customFormat="1" ht="15">
      <c r="B114" s="68"/>
      <c r="C114" s="68"/>
      <c r="D114" s="68"/>
      <c r="E114" s="68"/>
      <c r="F114" s="68"/>
      <c r="G114" s="68"/>
      <c r="H114" s="68"/>
      <c r="I114" s="68"/>
      <c r="J114" s="68"/>
      <c r="K114" s="68"/>
      <c r="L114" s="68"/>
      <c r="M114" s="68"/>
      <c r="N114" s="68"/>
      <c r="O114" s="68"/>
      <c r="P114" s="68"/>
      <c r="Q114" s="68"/>
      <c r="R114" s="68"/>
    </row>
    <row r="115" spans="2:18" s="55" customFormat="1" ht="15">
      <c r="B115" s="68"/>
      <c r="C115" s="68"/>
      <c r="D115" s="68"/>
      <c r="E115" s="68"/>
      <c r="F115" s="68"/>
      <c r="G115" s="68"/>
      <c r="H115" s="68"/>
      <c r="I115" s="68"/>
      <c r="J115" s="68"/>
      <c r="K115" s="68"/>
      <c r="L115" s="68"/>
      <c r="M115" s="68"/>
      <c r="N115" s="68"/>
      <c r="O115" s="68"/>
      <c r="P115" s="68"/>
      <c r="Q115" s="68"/>
      <c r="R115" s="68"/>
    </row>
    <row r="116" spans="2:18" s="55" customFormat="1" ht="15">
      <c r="B116" s="68"/>
      <c r="C116" s="68"/>
      <c r="D116" s="68"/>
      <c r="E116" s="68"/>
      <c r="F116" s="68"/>
      <c r="G116" s="68"/>
      <c r="H116" s="68"/>
      <c r="I116" s="68"/>
      <c r="J116" s="68"/>
      <c r="K116" s="68"/>
      <c r="L116" s="68"/>
      <c r="M116" s="68"/>
      <c r="N116" s="68"/>
      <c r="O116" s="68"/>
      <c r="P116" s="68"/>
      <c r="Q116" s="68"/>
      <c r="R116" s="68"/>
    </row>
    <row r="117" spans="2:18" s="55" customFormat="1" ht="15">
      <c r="B117" s="68"/>
      <c r="C117" s="68"/>
      <c r="D117" s="68"/>
      <c r="E117" s="68"/>
      <c r="F117" s="68"/>
      <c r="G117" s="68"/>
      <c r="H117" s="68"/>
      <c r="I117" s="68"/>
      <c r="J117" s="68"/>
      <c r="K117" s="68"/>
      <c r="L117" s="68"/>
      <c r="M117" s="68"/>
      <c r="N117" s="68"/>
      <c r="O117" s="68"/>
      <c r="P117" s="68"/>
      <c r="Q117" s="68"/>
      <c r="R117" s="68"/>
    </row>
    <row r="118" spans="2:18" s="55" customFormat="1" ht="15">
      <c r="B118" s="68"/>
      <c r="C118" s="68"/>
      <c r="D118" s="68"/>
      <c r="E118" s="68"/>
      <c r="F118" s="68"/>
      <c r="G118" s="68"/>
      <c r="H118" s="68"/>
      <c r="I118" s="68"/>
      <c r="J118" s="68"/>
      <c r="K118" s="68"/>
      <c r="L118" s="68"/>
      <c r="M118" s="68"/>
      <c r="N118" s="68"/>
      <c r="O118" s="68"/>
      <c r="P118" s="68"/>
      <c r="Q118" s="68"/>
      <c r="R118" s="68"/>
    </row>
    <row r="119" spans="2:18" s="55" customFormat="1" ht="15">
      <c r="B119" s="68"/>
      <c r="C119" s="68"/>
      <c r="D119" s="68"/>
      <c r="E119" s="68"/>
      <c r="F119" s="68"/>
      <c r="G119" s="68"/>
      <c r="H119" s="68"/>
      <c r="I119" s="68"/>
      <c r="J119" s="68"/>
      <c r="K119" s="68"/>
      <c r="L119" s="68"/>
      <c r="M119" s="68"/>
      <c r="N119" s="68"/>
      <c r="O119" s="68"/>
      <c r="P119" s="68"/>
      <c r="Q119" s="68"/>
      <c r="R119" s="68"/>
    </row>
    <row r="120" spans="2:18" s="55" customFormat="1" ht="15">
      <c r="B120" s="68"/>
      <c r="C120" s="68"/>
      <c r="D120" s="68"/>
      <c r="E120" s="68"/>
      <c r="F120" s="68"/>
      <c r="G120" s="68"/>
      <c r="H120" s="68"/>
      <c r="I120" s="68"/>
      <c r="J120" s="68"/>
      <c r="K120" s="68"/>
      <c r="L120" s="68"/>
      <c r="M120" s="68"/>
      <c r="N120" s="68"/>
      <c r="O120" s="68"/>
      <c r="P120" s="68"/>
      <c r="Q120" s="68"/>
      <c r="R120" s="68"/>
    </row>
    <row r="121" s="55" customFormat="1" ht="15"/>
    <row r="122" s="55" customFormat="1" ht="15"/>
    <row r="123" s="55" customFormat="1" ht="15"/>
    <row r="124" s="55" customFormat="1" ht="15"/>
    <row r="125" s="55" customFormat="1" ht="15"/>
    <row r="126" s="55" customFormat="1" ht="15"/>
    <row r="127" s="55" customFormat="1" ht="15"/>
    <row r="128" s="55" customFormat="1" ht="15"/>
    <row r="129" s="55" customFormat="1" ht="15"/>
    <row r="130" s="55" customFormat="1" ht="15"/>
    <row r="131" s="55" customFormat="1" ht="15"/>
    <row r="132" s="55" customFormat="1" ht="15"/>
    <row r="133" s="55" customFormat="1" ht="15"/>
    <row r="134" s="55" customFormat="1" ht="15"/>
    <row r="135" s="55" customFormat="1" ht="15"/>
    <row r="136" s="55" customFormat="1" ht="15"/>
    <row r="137" s="55" customFormat="1" ht="15"/>
    <row r="138" s="55" customFormat="1" ht="15"/>
    <row r="139" s="55" customFormat="1" ht="15"/>
    <row r="140" s="55" customFormat="1" ht="15"/>
    <row r="141" s="55" customFormat="1" ht="15"/>
    <row r="142" s="55" customFormat="1" ht="15"/>
    <row r="143" s="55" customFormat="1" ht="15"/>
    <row r="144" s="55" customFormat="1" ht="15"/>
    <row r="145" s="55" customFormat="1" ht="15"/>
    <row r="146" s="55" customFormat="1" ht="15"/>
    <row r="147" s="55" customFormat="1" ht="15"/>
    <row r="148" s="55" customFormat="1" ht="15"/>
    <row r="149" s="55" customFormat="1" ht="15"/>
    <row r="150" s="55" customFormat="1" ht="15"/>
    <row r="151" s="55" customFormat="1" ht="15"/>
    <row r="152" s="55" customFormat="1" ht="15"/>
    <row r="153" s="55" customFormat="1" ht="15"/>
    <row r="154" s="55" customFormat="1" ht="15"/>
  </sheetData>
  <sheetProtection password="8B19" sheet="1" objects="1" selectLockedCells="1"/>
  <mergeCells count="12">
    <mergeCell ref="C13:F13"/>
    <mergeCell ref="C14:F14"/>
    <mergeCell ref="B26:F26"/>
    <mergeCell ref="B37:F37"/>
    <mergeCell ref="C38:D38"/>
    <mergeCell ref="B75:F75"/>
    <mergeCell ref="B100:F100"/>
    <mergeCell ref="C4:F4"/>
    <mergeCell ref="C6:F6"/>
    <mergeCell ref="C8:F8"/>
    <mergeCell ref="C10:F10"/>
    <mergeCell ref="C12:F12"/>
  </mergeCells>
  <dataValidations count="8">
    <dataValidation type="decimal" showInputMessage="1" showErrorMessage="1" errorTitle="Error" error="Type in a value between 2.00 and 20.00" sqref="C14:F14">
      <formula1>2</formula1>
      <formula2>20</formula2>
    </dataValidation>
    <dataValidation type="decimal" allowBlank="1" showInputMessage="1" showErrorMessage="1" errorTitle="Error" error="Type in a value between 2.00 and 20.00" sqref="C15">
      <formula1>2</formula1>
      <formula2>20</formula2>
    </dataValidation>
    <dataValidation type="textLength" allowBlank="1" showInputMessage="1" showErrorMessage="1" sqref="C4:C11">
      <formula1>0</formula1>
      <formula2>100</formula2>
    </dataValidation>
    <dataValidation type="whole" allowBlank="1" showInputMessage="1" showErrorMessage="1" errorTitle="Error" error="Type in a number between 100 and 1,000" sqref="C28:D28">
      <formula1>100</formula1>
      <formula2>1000</formula2>
    </dataValidation>
    <dataValidation type="whole" allowBlank="1" showInputMessage="1" showErrorMessage="1" sqref="C21:D21">
      <formula1>1000</formula1>
      <formula2>10000000</formula2>
    </dataValidation>
    <dataValidation type="whole" allowBlank="1" showInputMessage="1" showErrorMessage="1" errorTitle="Error" error="Type in a number between 0 and 5,000" sqref="C76:D80">
      <formula1>0</formula1>
      <formula2>5000</formula2>
    </dataValidation>
    <dataValidation type="whole" allowBlank="1" showInputMessage="1" showErrorMessage="1" errorTitle="Error" error="Type in a number between 0 and 10,000" sqref="C52:D56">
      <formula1>0</formula1>
      <formula2>10000</formula2>
    </dataValidation>
    <dataValidation type="whole" allowBlank="1" showInputMessage="1" showErrorMessage="1" errorTitle="Error" error="Type in a number between 10 and 10,000" sqref="C19:D20 C27:D27">
      <formula1>10</formula1>
      <formula2>10000</formula2>
    </dataValidation>
  </dataValidations>
  <printOptions/>
  <pageMargins left="0.31496062992125984" right="0.31496062992125984" top="0.5511811023622047" bottom="0.5511811023622047" header="0.15748031496062992" footer="0.15748031496062992"/>
  <pageSetup fitToHeight="3" fitToWidth="1" horizontalDpi="600" verticalDpi="600" orientation="portrait" paperSize="9" scale="68" r:id="rId3"/>
  <headerFooter>
    <oddFooter>&amp;L&amp;8Version 2.5/Aug 2011&amp;C&amp;8&amp;A
&amp;F&amp;R&amp;8Printed: &amp;D</oddFooter>
  </headerFooter>
  <drawing r:id="rId2"/>
  <legacyDrawing r:id="rId1"/>
</worksheet>
</file>

<file path=xl/worksheets/sheet20.xml><?xml version="1.0" encoding="utf-8"?>
<worksheet xmlns="http://schemas.openxmlformats.org/spreadsheetml/2006/main" xmlns:r="http://schemas.openxmlformats.org/officeDocument/2006/relationships">
  <dimension ref="A1:B15"/>
  <sheetViews>
    <sheetView zoomScalePageLayoutView="0" workbookViewId="0" topLeftCell="A1">
      <selection activeCell="A1" sqref="A1"/>
    </sheetView>
  </sheetViews>
  <sheetFormatPr defaultColWidth="8.8515625" defaultRowHeight="15"/>
  <cols>
    <col min="1" max="1" width="45.140625" style="0" customWidth="1"/>
  </cols>
  <sheetData>
    <row r="1" spans="1:2" ht="30">
      <c r="A1" s="1" t="s">
        <v>158</v>
      </c>
      <c r="B1" s="39">
        <v>0.021</v>
      </c>
    </row>
    <row r="2" spans="1:2" ht="30">
      <c r="A2" s="1" t="s">
        <v>130</v>
      </c>
      <c r="B2" s="40">
        <v>0.8</v>
      </c>
    </row>
    <row r="3" spans="1:2" ht="15">
      <c r="A3" s="1" t="s">
        <v>263</v>
      </c>
      <c r="B3" s="4">
        <v>270</v>
      </c>
    </row>
    <row r="4" spans="1:2" ht="15">
      <c r="A4" s="45" t="s">
        <v>175</v>
      </c>
      <c r="B4" s="43">
        <v>0.15</v>
      </c>
    </row>
    <row r="5" spans="1:2" ht="30">
      <c r="A5" s="1" t="s">
        <v>210</v>
      </c>
      <c r="B5" s="44">
        <v>0.2</v>
      </c>
    </row>
    <row r="6" spans="1:2" ht="15">
      <c r="A6" s="1" t="s">
        <v>151</v>
      </c>
      <c r="B6" s="41">
        <v>0.09</v>
      </c>
    </row>
    <row r="7" spans="1:2" ht="15">
      <c r="A7" t="s">
        <v>102</v>
      </c>
      <c r="B7" s="9">
        <v>0.19</v>
      </c>
    </row>
    <row r="8" spans="1:2" ht="15">
      <c r="A8" s="42" t="s">
        <v>61</v>
      </c>
      <c r="B8" s="46">
        <v>1500</v>
      </c>
    </row>
    <row r="9" spans="1:2" ht="15">
      <c r="A9" s="42" t="s">
        <v>9</v>
      </c>
      <c r="B9" s="46">
        <v>600</v>
      </c>
    </row>
    <row r="10" spans="1:2" ht="15">
      <c r="A10" s="47" t="s">
        <v>195</v>
      </c>
      <c r="B10" s="46">
        <v>18</v>
      </c>
    </row>
    <row r="11" spans="1:2" ht="15">
      <c r="A11" s="49" t="s">
        <v>104</v>
      </c>
      <c r="B11" s="50">
        <v>0.033</v>
      </c>
    </row>
    <row r="12" spans="1:2" ht="15">
      <c r="A12" s="4" t="s">
        <v>89</v>
      </c>
      <c r="B12" s="4">
        <v>0.25</v>
      </c>
    </row>
    <row r="13" spans="1:2" ht="30">
      <c r="A13" s="49" t="s">
        <v>135</v>
      </c>
      <c r="B13" s="39">
        <v>0.032</v>
      </c>
    </row>
    <row r="14" spans="1:2" ht="15">
      <c r="A14" s="4" t="s">
        <v>93</v>
      </c>
      <c r="B14" s="4">
        <v>4.9</v>
      </c>
    </row>
    <row r="15" spans="1:2" ht="15">
      <c r="A15" s="4" t="s">
        <v>91</v>
      </c>
      <c r="B15" s="51">
        <v>150</v>
      </c>
    </row>
  </sheetData>
  <sheetProtection password="8B19" sheet="1" selectLockedCells="1" selectUnlockedCell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AI154"/>
  <sheetViews>
    <sheetView showGridLines="0" showRowColHeaders="0" zoomScalePageLayoutView="0" workbookViewId="0" topLeftCell="A1">
      <pane ySplit="3" topLeftCell="A36" activePane="bottomLeft" state="frozen"/>
      <selection pane="topLeft" activeCell="B3" sqref="B3"/>
      <selection pane="bottomLeft" activeCell="C59" sqref="C59"/>
    </sheetView>
  </sheetViews>
  <sheetFormatPr defaultColWidth="8.8515625" defaultRowHeight="15"/>
  <cols>
    <col min="1" max="1" width="6.421875" style="55" customWidth="1"/>
    <col min="2" max="2" width="64.28125" style="0" customWidth="1"/>
    <col min="3" max="6" width="15.8515625" style="0" customWidth="1"/>
    <col min="7" max="8" width="8.8515625" style="55" customWidth="1"/>
    <col min="9" max="9" width="12.421875" style="55" bestFit="1" customWidth="1"/>
    <col min="10" max="27" width="8.8515625" style="55" customWidth="1"/>
  </cols>
  <sheetData>
    <row r="1" s="55" customFormat="1" ht="15"/>
    <row r="2" spans="2:12" s="55" customFormat="1" ht="79.5" customHeight="1">
      <c r="B2" s="58" t="s">
        <v>254</v>
      </c>
      <c r="D2" s="56"/>
      <c r="E2" s="56"/>
      <c r="F2" s="56"/>
      <c r="G2" s="56"/>
      <c r="H2" s="56"/>
      <c r="I2" s="56"/>
      <c r="J2" s="56"/>
      <c r="K2" s="56"/>
      <c r="L2" s="56"/>
    </row>
    <row r="3" s="55" customFormat="1" ht="15">
      <c r="H3" s="197" t="s">
        <v>257</v>
      </c>
    </row>
    <row r="4" spans="2:18" s="55" customFormat="1" ht="22.5" customHeight="1">
      <c r="B4" s="69" t="s">
        <v>155</v>
      </c>
      <c r="C4" s="294" t="str">
        <f>IF(Advisor_name="","",Advisor_name)</f>
        <v>My advisor</v>
      </c>
      <c r="D4" s="295"/>
      <c r="E4" s="295"/>
      <c r="F4" s="296"/>
      <c r="G4" s="68"/>
      <c r="H4" s="68"/>
      <c r="I4" s="68"/>
      <c r="J4" s="68"/>
      <c r="K4" s="68"/>
      <c r="L4" s="68"/>
      <c r="M4" s="68"/>
      <c r="N4" s="68"/>
      <c r="O4" s="68"/>
      <c r="P4" s="68"/>
      <c r="Q4" s="68"/>
      <c r="R4" s="68"/>
    </row>
    <row r="5" spans="2:18" s="64" customFormat="1" ht="9" customHeight="1">
      <c r="B5" s="70"/>
      <c r="C5" s="71"/>
      <c r="D5" s="71"/>
      <c r="E5" s="71"/>
      <c r="F5" s="71"/>
      <c r="G5" s="72"/>
      <c r="H5" s="72"/>
      <c r="I5" s="72"/>
      <c r="J5" s="72"/>
      <c r="K5" s="72"/>
      <c r="L5" s="72"/>
      <c r="M5" s="72"/>
      <c r="N5" s="72"/>
      <c r="O5" s="72"/>
      <c r="P5" s="72"/>
      <c r="Q5" s="72"/>
      <c r="R5" s="72"/>
    </row>
    <row r="6" spans="2:18" s="55" customFormat="1" ht="22.5" customHeight="1">
      <c r="B6" s="69" t="s">
        <v>52</v>
      </c>
      <c r="C6" s="294" t="str">
        <f>IF(Advisor_s_business_name="","",Advisor_s_business_name)</f>
        <v>My advisor's business</v>
      </c>
      <c r="D6" s="295"/>
      <c r="E6" s="295"/>
      <c r="F6" s="296"/>
      <c r="G6" s="68"/>
      <c r="H6" s="68"/>
      <c r="I6" s="68"/>
      <c r="J6" s="68"/>
      <c r="K6" s="68"/>
      <c r="L6" s="68"/>
      <c r="M6" s="68"/>
      <c r="N6" s="68"/>
      <c r="O6" s="68"/>
      <c r="P6" s="68"/>
      <c r="Q6" s="68"/>
      <c r="R6" s="68"/>
    </row>
    <row r="7" spans="1:18" s="64" customFormat="1" ht="9" customHeight="1">
      <c r="A7" s="154"/>
      <c r="B7" s="70"/>
      <c r="C7" s="71"/>
      <c r="D7" s="71"/>
      <c r="E7" s="71"/>
      <c r="F7" s="71"/>
      <c r="G7" s="72"/>
      <c r="H7" s="72"/>
      <c r="I7" s="72"/>
      <c r="J7" s="72"/>
      <c r="K7" s="72"/>
      <c r="L7" s="72"/>
      <c r="M7" s="72"/>
      <c r="N7" s="72"/>
      <c r="O7" s="72"/>
      <c r="P7" s="72"/>
      <c r="Q7" s="72"/>
      <c r="R7" s="72"/>
    </row>
    <row r="8" spans="1:18" s="55" customFormat="1" ht="22.5" customHeight="1">
      <c r="A8" s="66"/>
      <c r="B8" s="69" t="s">
        <v>153</v>
      </c>
      <c r="C8" s="294" t="str">
        <f>IF(Herd_owner="","",Herd_owner)</f>
        <v>My herd owner</v>
      </c>
      <c r="D8" s="295"/>
      <c r="E8" s="295"/>
      <c r="F8" s="296"/>
      <c r="G8" s="68"/>
      <c r="H8" s="68"/>
      <c r="I8" s="68"/>
      <c r="J8" s="68"/>
      <c r="K8" s="68"/>
      <c r="L8" s="68"/>
      <c r="M8" s="68"/>
      <c r="N8" s="68"/>
      <c r="O8" s="68"/>
      <c r="P8" s="68"/>
      <c r="Q8" s="68"/>
      <c r="R8" s="68"/>
    </row>
    <row r="9" spans="1:18" s="64" customFormat="1" ht="9" customHeight="1">
      <c r="A9" s="154"/>
      <c r="B9" s="70"/>
      <c r="C9" s="73"/>
      <c r="D9" s="73"/>
      <c r="E9" s="73"/>
      <c r="F9" s="73"/>
      <c r="G9" s="72"/>
      <c r="H9" s="72"/>
      <c r="I9" s="72"/>
      <c r="J9" s="72"/>
      <c r="K9" s="72"/>
      <c r="L9" s="72"/>
      <c r="M9" s="72"/>
      <c r="N9" s="72"/>
      <c r="O9" s="72"/>
      <c r="P9" s="72"/>
      <c r="Q9" s="72"/>
      <c r="R9" s="72"/>
    </row>
    <row r="10" spans="1:18" s="55" customFormat="1" ht="22.5" customHeight="1">
      <c r="A10" s="66"/>
      <c r="B10" s="69" t="s">
        <v>154</v>
      </c>
      <c r="C10" s="294" t="str">
        <f>IF(Herd_name="","",Herd_name)</f>
        <v>My herd</v>
      </c>
      <c r="D10" s="295"/>
      <c r="E10" s="295"/>
      <c r="F10" s="296"/>
      <c r="G10" s="68"/>
      <c r="H10" s="68"/>
      <c r="I10" s="68"/>
      <c r="J10" s="68"/>
      <c r="K10" s="68"/>
      <c r="L10" s="68"/>
      <c r="M10" s="68"/>
      <c r="N10" s="68"/>
      <c r="O10" s="68"/>
      <c r="P10" s="68"/>
      <c r="Q10" s="68"/>
      <c r="R10" s="68"/>
    </row>
    <row r="11" spans="1:18" s="64" customFormat="1" ht="9" customHeight="1">
      <c r="A11" s="154"/>
      <c r="B11" s="70"/>
      <c r="C11" s="73"/>
      <c r="D11" s="73"/>
      <c r="E11" s="73"/>
      <c r="F11" s="73"/>
      <c r="G11" s="72"/>
      <c r="H11" s="72"/>
      <c r="I11" s="72"/>
      <c r="J11" s="72"/>
      <c r="K11" s="72"/>
      <c r="L11" s="72"/>
      <c r="M11" s="72"/>
      <c r="N11" s="72"/>
      <c r="O11" s="72"/>
      <c r="P11" s="72"/>
      <c r="Q11" s="72"/>
      <c r="R11" s="72"/>
    </row>
    <row r="12" spans="1:18" s="55" customFormat="1" ht="22.5" customHeight="1">
      <c r="A12" s="66"/>
      <c r="B12" s="69" t="s">
        <v>282</v>
      </c>
      <c r="C12" s="297">
        <f ca="1">TODAY()</f>
        <v>40794</v>
      </c>
      <c r="D12" s="298"/>
      <c r="E12" s="298"/>
      <c r="F12" s="299"/>
      <c r="G12" s="68"/>
      <c r="H12" s="68"/>
      <c r="I12" s="68"/>
      <c r="J12" s="68"/>
      <c r="K12" s="68"/>
      <c r="L12" s="68"/>
      <c r="M12" s="68"/>
      <c r="N12" s="68"/>
      <c r="O12" s="68"/>
      <c r="P12" s="68"/>
      <c r="Q12" s="68"/>
      <c r="R12" s="68"/>
    </row>
    <row r="13" spans="1:18" s="55" customFormat="1" ht="9" customHeight="1">
      <c r="A13" s="66"/>
      <c r="B13" s="67"/>
      <c r="C13" s="286"/>
      <c r="D13" s="286"/>
      <c r="E13" s="286"/>
      <c r="F13" s="286"/>
      <c r="G13" s="68"/>
      <c r="H13" s="68"/>
      <c r="I13" s="68"/>
      <c r="J13" s="68"/>
      <c r="K13" s="68"/>
      <c r="L13" s="68"/>
      <c r="M13" s="68"/>
      <c r="N13" s="68"/>
      <c r="O13" s="68"/>
      <c r="P13" s="68"/>
      <c r="Q13" s="68"/>
      <c r="R13" s="68"/>
    </row>
    <row r="14" spans="1:18" s="55" customFormat="1" ht="22.5" customHeight="1">
      <c r="A14" s="66"/>
      <c r="B14" s="69" t="s">
        <v>296</v>
      </c>
      <c r="C14" s="225">
        <f>Payout</f>
        <v>6.5</v>
      </c>
      <c r="D14" s="290" t="s">
        <v>211</v>
      </c>
      <c r="E14" s="291"/>
      <c r="F14" s="171"/>
      <c r="G14" s="68"/>
      <c r="H14" s="68"/>
      <c r="I14" s="68"/>
      <c r="J14" s="68"/>
      <c r="K14" s="68"/>
      <c r="L14" s="68"/>
      <c r="M14" s="68"/>
      <c r="N14" s="68"/>
      <c r="O14" s="68"/>
      <c r="P14" s="68"/>
      <c r="Q14" s="68"/>
      <c r="R14" s="68"/>
    </row>
    <row r="15" spans="1:18" s="55" customFormat="1" ht="9" customHeight="1">
      <c r="A15" s="66"/>
      <c r="B15" s="74"/>
      <c r="C15" s="75"/>
      <c r="D15" s="75"/>
      <c r="E15" s="75"/>
      <c r="F15" s="54"/>
      <c r="G15" s="76"/>
      <c r="H15" s="68"/>
      <c r="I15" s="68"/>
      <c r="J15" s="68"/>
      <c r="K15" s="68"/>
      <c r="L15" s="68"/>
      <c r="M15" s="68"/>
      <c r="N15" s="68"/>
      <c r="O15" s="68"/>
      <c r="P15" s="68"/>
      <c r="Q15" s="68"/>
      <c r="R15" s="68"/>
    </row>
    <row r="16" spans="1:35" ht="69" customHeight="1">
      <c r="A16" s="66"/>
      <c r="B16" s="97"/>
      <c r="C16" s="102" t="s">
        <v>283</v>
      </c>
      <c r="D16" s="102" t="s">
        <v>196</v>
      </c>
      <c r="E16" s="102" t="s">
        <v>284</v>
      </c>
      <c r="F16" s="112" t="s">
        <v>285</v>
      </c>
      <c r="G16" s="68"/>
      <c r="H16" s="68"/>
      <c r="I16" s="68"/>
      <c r="J16" s="68"/>
      <c r="K16" s="68"/>
      <c r="L16" s="68"/>
      <c r="M16" s="68"/>
      <c r="N16" s="68"/>
      <c r="O16" s="68"/>
      <c r="P16" s="68"/>
      <c r="Q16" s="68"/>
      <c r="R16" s="68"/>
      <c r="AB16" s="53"/>
      <c r="AC16" s="53"/>
      <c r="AD16" s="53"/>
      <c r="AE16" s="53"/>
      <c r="AF16" s="53"/>
      <c r="AG16" s="53"/>
      <c r="AH16" s="53"/>
      <c r="AI16" s="53"/>
    </row>
    <row r="17" spans="1:35" ht="15" customHeight="1" hidden="1">
      <c r="A17" s="66"/>
      <c r="B17" s="98" t="s">
        <v>3</v>
      </c>
      <c r="C17" s="99">
        <v>2009</v>
      </c>
      <c r="D17" s="99">
        <v>2011</v>
      </c>
      <c r="E17" s="100"/>
      <c r="F17" s="101"/>
      <c r="G17" s="68"/>
      <c r="H17" s="68"/>
      <c r="I17" s="68"/>
      <c r="J17" s="68"/>
      <c r="K17" s="68"/>
      <c r="L17" s="68"/>
      <c r="M17" s="68"/>
      <c r="N17" s="68"/>
      <c r="O17" s="68"/>
      <c r="P17" s="68"/>
      <c r="Q17" s="68"/>
      <c r="R17" s="68"/>
      <c r="AB17" s="53"/>
      <c r="AC17" s="53"/>
      <c r="AD17" s="53"/>
      <c r="AE17" s="53"/>
      <c r="AF17" s="53"/>
      <c r="AG17" s="53"/>
      <c r="AH17" s="53"/>
      <c r="AI17" s="53"/>
    </row>
    <row r="18" spans="1:18" s="64" customFormat="1" ht="9" customHeight="1">
      <c r="A18" s="154"/>
      <c r="B18" s="155"/>
      <c r="C18" s="156"/>
      <c r="D18" s="156"/>
      <c r="E18" s="157"/>
      <c r="F18" s="157"/>
      <c r="G18" s="72"/>
      <c r="H18" s="72"/>
      <c r="I18" s="72"/>
      <c r="J18" s="72"/>
      <c r="K18" s="72"/>
      <c r="L18" s="72"/>
      <c r="M18" s="72"/>
      <c r="N18" s="72"/>
      <c r="O18" s="72"/>
      <c r="P18" s="72"/>
      <c r="Q18" s="72"/>
      <c r="R18" s="72"/>
    </row>
    <row r="19" spans="1:18" s="55" customFormat="1" ht="22.5" customHeight="1">
      <c r="A19" s="66"/>
      <c r="B19" s="113" t="s">
        <v>2</v>
      </c>
      <c r="C19" s="125">
        <f>CalvedNoTotalCurrent</f>
        <v>500</v>
      </c>
      <c r="D19" s="125">
        <f>CalvedNoTotalTarget</f>
        <v>500</v>
      </c>
      <c r="E19" s="124"/>
      <c r="F19" s="124"/>
      <c r="G19" s="76"/>
      <c r="H19" s="68"/>
      <c r="I19" s="68"/>
      <c r="J19" s="68"/>
      <c r="K19" s="68"/>
      <c r="L19" s="68"/>
      <c r="M19" s="68"/>
      <c r="N19" s="68"/>
      <c r="O19" s="68"/>
      <c r="P19" s="68"/>
      <c r="Q19" s="68"/>
      <c r="R19" s="68"/>
    </row>
    <row r="20" spans="1:18" s="64" customFormat="1" ht="9" customHeight="1">
      <c r="A20" s="154"/>
      <c r="B20" s="158"/>
      <c r="C20" s="226"/>
      <c r="D20" s="226"/>
      <c r="E20" s="160"/>
      <c r="F20" s="160"/>
      <c r="G20" s="161"/>
      <c r="H20" s="72"/>
      <c r="I20" s="72"/>
      <c r="J20" s="72"/>
      <c r="K20" s="72"/>
      <c r="L20" s="72"/>
      <c r="M20" s="72"/>
      <c r="N20" s="72"/>
      <c r="O20" s="72"/>
      <c r="P20" s="72"/>
      <c r="Q20" s="72"/>
      <c r="R20" s="72"/>
    </row>
    <row r="21" spans="1:35" ht="22.5" customHeight="1">
      <c r="A21" s="103"/>
      <c r="B21" s="111" t="s">
        <v>186</v>
      </c>
      <c r="C21" s="224">
        <f>ProdCurrent</f>
        <v>175000</v>
      </c>
      <c r="D21" s="224">
        <f>ProdTarget</f>
        <v>175000</v>
      </c>
      <c r="E21" s="124"/>
      <c r="F21" s="124"/>
      <c r="G21" s="68"/>
      <c r="H21" s="68"/>
      <c r="I21" s="68"/>
      <c r="J21" s="68"/>
      <c r="K21" s="68"/>
      <c r="L21" s="68"/>
      <c r="M21" s="68"/>
      <c r="N21" s="68"/>
      <c r="O21" s="68"/>
      <c r="P21" s="68"/>
      <c r="Q21" s="68"/>
      <c r="R21" s="68"/>
      <c r="AB21" s="53"/>
      <c r="AC21" s="53"/>
      <c r="AD21" s="53"/>
      <c r="AE21" s="53"/>
      <c r="AF21" s="53"/>
      <c r="AG21" s="53"/>
      <c r="AH21" s="53"/>
      <c r="AI21" s="53"/>
    </row>
    <row r="22" spans="1:18" s="55" customFormat="1" ht="22.5" customHeight="1" hidden="1">
      <c r="A22" s="66"/>
      <c r="B22" s="107" t="s">
        <v>157</v>
      </c>
      <c r="C22" s="78">
        <f>C19*0.2</f>
        <v>100</v>
      </c>
      <c r="D22" s="78">
        <f>D19*0.2</f>
        <v>100</v>
      </c>
      <c r="E22" s="77"/>
      <c r="F22" s="77"/>
      <c r="G22" s="76"/>
      <c r="H22" s="68"/>
      <c r="I22" s="68"/>
      <c r="J22" s="68"/>
      <c r="K22" s="68"/>
      <c r="L22" s="68"/>
      <c r="M22" s="68"/>
      <c r="N22" s="68"/>
      <c r="O22" s="68"/>
      <c r="P22" s="68"/>
      <c r="Q22" s="68"/>
      <c r="R22" s="68"/>
    </row>
    <row r="23" spans="1:18" s="55" customFormat="1" ht="9" customHeight="1">
      <c r="A23" s="66"/>
      <c r="B23" s="106"/>
      <c r="C23" s="56"/>
      <c r="D23" s="56"/>
      <c r="E23" s="56"/>
      <c r="F23" s="56"/>
      <c r="G23" s="76"/>
      <c r="H23" s="68"/>
      <c r="I23" s="68"/>
      <c r="J23" s="68"/>
      <c r="K23" s="68"/>
      <c r="L23" s="68"/>
      <c r="M23" s="68"/>
      <c r="N23" s="68"/>
      <c r="O23" s="68"/>
      <c r="P23" s="68"/>
      <c r="Q23" s="68"/>
      <c r="R23" s="68"/>
    </row>
    <row r="24" spans="1:18" s="55" customFormat="1" ht="22.5" customHeight="1">
      <c r="A24" s="66"/>
      <c r="B24" s="111" t="s">
        <v>264</v>
      </c>
      <c r="C24" s="253">
        <v>400</v>
      </c>
      <c r="D24" s="253">
        <v>400</v>
      </c>
      <c r="E24" s="124"/>
      <c r="F24" s="124"/>
      <c r="G24" s="76"/>
      <c r="H24" s="68"/>
      <c r="I24" s="68"/>
      <c r="J24" s="68"/>
      <c r="K24" s="68"/>
      <c r="L24" s="68"/>
      <c r="M24" s="68"/>
      <c r="N24" s="68"/>
      <c r="O24" s="68"/>
      <c r="P24" s="68"/>
      <c r="Q24" s="68"/>
      <c r="R24" s="68"/>
    </row>
    <row r="25" spans="1:18" s="55" customFormat="1" ht="9" customHeight="1">
      <c r="A25" s="66"/>
      <c r="B25" s="106"/>
      <c r="C25" s="56"/>
      <c r="D25" s="56"/>
      <c r="E25" s="56"/>
      <c r="F25" s="56"/>
      <c r="G25" s="76"/>
      <c r="H25" s="68"/>
      <c r="I25" s="68"/>
      <c r="J25" s="68"/>
      <c r="K25" s="68"/>
      <c r="L25" s="68"/>
      <c r="M25" s="68"/>
      <c r="N25" s="68"/>
      <c r="O25" s="68"/>
      <c r="P25" s="68"/>
      <c r="Q25" s="68"/>
      <c r="R25" s="68"/>
    </row>
    <row r="26" spans="1:35" ht="28.5" customHeight="1">
      <c r="A26" s="66"/>
      <c r="B26" s="190" t="s">
        <v>145</v>
      </c>
      <c r="C26" s="115"/>
      <c r="D26" s="115"/>
      <c r="E26" s="115"/>
      <c r="F26" s="115"/>
      <c r="G26" s="76"/>
      <c r="H26" s="68"/>
      <c r="I26" s="68"/>
      <c r="J26" s="68"/>
      <c r="K26" s="68"/>
      <c r="L26" s="68"/>
      <c r="M26" s="68"/>
      <c r="N26" s="68"/>
      <c r="O26" s="68"/>
      <c r="P26" s="68"/>
      <c r="Q26" s="68"/>
      <c r="R26" s="68"/>
      <c r="AB26" s="53"/>
      <c r="AC26" s="53"/>
      <c r="AD26" s="53"/>
      <c r="AE26" s="53"/>
      <c r="AF26" s="53"/>
      <c r="AG26" s="53"/>
      <c r="AH26" s="53"/>
      <c r="AI26" s="53"/>
    </row>
    <row r="27" spans="1:18" s="55" customFormat="1" ht="9" customHeight="1">
      <c r="A27" s="66"/>
      <c r="B27" s="114"/>
      <c r="C27" s="115"/>
      <c r="D27" s="115"/>
      <c r="E27" s="115"/>
      <c r="F27" s="115"/>
      <c r="G27" s="76"/>
      <c r="H27" s="68"/>
      <c r="I27" s="68"/>
      <c r="J27" s="68"/>
      <c r="K27" s="68"/>
      <c r="L27" s="68"/>
      <c r="M27" s="68"/>
      <c r="N27" s="68"/>
      <c r="O27" s="68"/>
      <c r="P27" s="68"/>
      <c r="Q27" s="68"/>
      <c r="R27" s="68"/>
    </row>
    <row r="28" spans="1:18" s="55" customFormat="1" ht="30" customHeight="1">
      <c r="A28" s="66"/>
      <c r="B28" s="273" t="s">
        <v>131</v>
      </c>
      <c r="C28" s="273"/>
      <c r="D28" s="273"/>
      <c r="E28" s="273"/>
      <c r="F28" s="274"/>
      <c r="G28" s="76"/>
      <c r="H28" s="68"/>
      <c r="I28" s="68"/>
      <c r="J28" s="68"/>
      <c r="K28" s="68"/>
      <c r="L28" s="68"/>
      <c r="M28" s="68"/>
      <c r="N28" s="68"/>
      <c r="O28" s="68"/>
      <c r="P28" s="68"/>
      <c r="Q28" s="68"/>
      <c r="R28" s="68"/>
    </row>
    <row r="29" spans="1:18" s="55" customFormat="1" ht="9" customHeight="1">
      <c r="A29" s="66"/>
      <c r="B29" s="117"/>
      <c r="C29" s="118"/>
      <c r="D29" s="118"/>
      <c r="E29" s="119"/>
      <c r="F29" s="120"/>
      <c r="G29" s="68"/>
      <c r="H29" s="68"/>
      <c r="I29" s="68"/>
      <c r="J29" s="68"/>
      <c r="K29" s="68"/>
      <c r="L29" s="68"/>
      <c r="M29" s="68"/>
      <c r="N29" s="68"/>
      <c r="O29" s="68"/>
      <c r="P29" s="68"/>
      <c r="Q29" s="68"/>
      <c r="R29" s="68"/>
    </row>
    <row r="30" spans="1:35" ht="22.5" customHeight="1">
      <c r="A30" s="103"/>
      <c r="B30" s="116" t="s">
        <v>226</v>
      </c>
      <c r="C30" s="224">
        <f>BMSCCAveCurrent</f>
        <v>300</v>
      </c>
      <c r="D30" s="224">
        <f>BMSCCAveTarget</f>
        <v>150</v>
      </c>
      <c r="E30" s="125">
        <v>125</v>
      </c>
      <c r="F30" s="126"/>
      <c r="G30" s="68"/>
      <c r="H30" s="68"/>
      <c r="I30" s="68"/>
      <c r="J30" s="68"/>
      <c r="K30" s="68"/>
      <c r="L30" s="68"/>
      <c r="M30" s="68"/>
      <c r="N30" s="68"/>
      <c r="O30" s="68"/>
      <c r="P30" s="68"/>
      <c r="Q30" s="68"/>
      <c r="R30" s="68"/>
      <c r="AB30" s="53"/>
      <c r="AC30" s="53"/>
      <c r="AD30" s="53"/>
      <c r="AE30" s="53"/>
      <c r="AF30" s="53"/>
      <c r="AG30" s="53"/>
      <c r="AH30" s="53"/>
      <c r="AI30" s="53"/>
    </row>
    <row r="31" spans="1:18" s="55" customFormat="1" ht="22.5" customHeight="1" hidden="1">
      <c r="A31" s="66"/>
      <c r="B31" s="108" t="s">
        <v>87</v>
      </c>
      <c r="C31" s="79">
        <f>BMSCCCostsInt!B4</f>
        <v>37862.5</v>
      </c>
      <c r="D31" s="79">
        <f>BMSCCCostsInt!C4</f>
        <v>13975</v>
      </c>
      <c r="E31" s="84"/>
      <c r="F31" s="79">
        <f>C31-D31</f>
        <v>23887.5</v>
      </c>
      <c r="G31" s="76"/>
      <c r="H31" s="68"/>
      <c r="I31" s="68"/>
      <c r="J31" s="68"/>
      <c r="K31" s="68"/>
      <c r="L31" s="68"/>
      <c r="M31" s="68"/>
      <c r="N31" s="68"/>
      <c r="O31" s="68"/>
      <c r="P31" s="68"/>
      <c r="Q31" s="68"/>
      <c r="R31" s="68"/>
    </row>
    <row r="32" spans="1:35" ht="22.5" customHeight="1" hidden="1">
      <c r="A32" s="66"/>
      <c r="B32" s="109" t="s">
        <v>160</v>
      </c>
      <c r="C32" s="81">
        <v>0</v>
      </c>
      <c r="D32" s="81">
        <v>0</v>
      </c>
      <c r="E32" s="77"/>
      <c r="F32" s="82"/>
      <c r="G32" s="68"/>
      <c r="H32" s="68"/>
      <c r="I32" s="68"/>
      <c r="J32" s="68"/>
      <c r="K32" s="68"/>
      <c r="L32" s="68"/>
      <c r="M32" s="68"/>
      <c r="N32" s="68"/>
      <c r="O32" s="68"/>
      <c r="P32" s="68"/>
      <c r="Q32" s="68"/>
      <c r="R32" s="68"/>
      <c r="AB32" s="53"/>
      <c r="AC32" s="53"/>
      <c r="AD32" s="53"/>
      <c r="AE32" s="53"/>
      <c r="AF32" s="53"/>
      <c r="AG32" s="53"/>
      <c r="AH32" s="53"/>
      <c r="AI32" s="53"/>
    </row>
    <row r="33" spans="1:18" s="55" customFormat="1" ht="22.5" customHeight="1" hidden="1">
      <c r="A33" s="66"/>
      <c r="B33" s="109" t="s">
        <v>159</v>
      </c>
      <c r="C33" s="81">
        <v>0</v>
      </c>
      <c r="D33" s="81">
        <v>0</v>
      </c>
      <c r="E33" s="77"/>
      <c r="F33" s="82"/>
      <c r="G33" s="68"/>
      <c r="H33" s="68"/>
      <c r="I33" s="68"/>
      <c r="J33" s="68"/>
      <c r="K33" s="68"/>
      <c r="L33" s="68"/>
      <c r="M33" s="68"/>
      <c r="N33" s="68"/>
      <c r="O33" s="68"/>
      <c r="P33" s="68"/>
      <c r="Q33" s="68"/>
      <c r="R33" s="68"/>
    </row>
    <row r="34" spans="1:35" ht="22.5" customHeight="1" hidden="1">
      <c r="A34" s="66"/>
      <c r="B34" s="109" t="s">
        <v>173</v>
      </c>
      <c r="C34" s="81">
        <v>0</v>
      </c>
      <c r="D34" s="81">
        <v>0</v>
      </c>
      <c r="E34" s="77"/>
      <c r="F34" s="82"/>
      <c r="G34" s="68"/>
      <c r="H34" s="68"/>
      <c r="I34" s="68"/>
      <c r="J34" s="68"/>
      <c r="K34" s="68"/>
      <c r="L34" s="68"/>
      <c r="M34" s="68"/>
      <c r="N34" s="68"/>
      <c r="O34" s="68"/>
      <c r="P34" s="68"/>
      <c r="Q34" s="68"/>
      <c r="R34" s="68"/>
      <c r="AB34" s="53"/>
      <c r="AC34" s="53"/>
      <c r="AD34" s="53"/>
      <c r="AE34" s="53"/>
      <c r="AF34" s="53"/>
      <c r="AG34" s="53"/>
      <c r="AH34" s="53"/>
      <c r="AI34" s="53"/>
    </row>
    <row r="35" spans="1:35" ht="22.5" customHeight="1" hidden="1">
      <c r="A35" s="66"/>
      <c r="B35" s="108" t="s">
        <v>169</v>
      </c>
      <c r="C35" s="83">
        <f>BMSCCCostsInt!B25</f>
        <v>0</v>
      </c>
      <c r="D35" s="83">
        <f>BMSCCCostsInt!C25</f>
        <v>0</v>
      </c>
      <c r="E35" s="77"/>
      <c r="F35" s="82">
        <f>C35-D35</f>
        <v>0</v>
      </c>
      <c r="G35" s="68"/>
      <c r="H35" s="68"/>
      <c r="I35" s="68"/>
      <c r="J35" s="68"/>
      <c r="K35" s="68"/>
      <c r="L35" s="68"/>
      <c r="M35" s="68"/>
      <c r="N35" s="68"/>
      <c r="O35" s="68"/>
      <c r="P35" s="68"/>
      <c r="Q35" s="68"/>
      <c r="R35" s="68"/>
      <c r="AB35" s="53"/>
      <c r="AC35" s="53"/>
      <c r="AD35" s="53"/>
      <c r="AE35" s="53"/>
      <c r="AF35" s="53"/>
      <c r="AG35" s="53"/>
      <c r="AH35" s="53"/>
      <c r="AI35" s="53"/>
    </row>
    <row r="36" spans="1:18" s="55" customFormat="1" ht="9" customHeight="1">
      <c r="A36" s="66"/>
      <c r="B36" s="117"/>
      <c r="C36" s="118"/>
      <c r="D36" s="118"/>
      <c r="E36" s="119"/>
      <c r="F36" s="120"/>
      <c r="G36" s="68"/>
      <c r="H36" s="68"/>
      <c r="I36" s="68"/>
      <c r="J36" s="68"/>
      <c r="K36" s="68"/>
      <c r="L36" s="68"/>
      <c r="M36" s="68"/>
      <c r="N36" s="68"/>
      <c r="O36" s="68"/>
      <c r="P36" s="68"/>
      <c r="Q36" s="68"/>
      <c r="R36" s="68"/>
    </row>
    <row r="37" spans="1:35" ht="22.5" customHeight="1">
      <c r="A37" s="66"/>
      <c r="B37" s="187" t="s">
        <v>11</v>
      </c>
      <c r="C37" s="264">
        <f>C31+C35</f>
        <v>37862.5</v>
      </c>
      <c r="D37" s="260">
        <f>D31+D35</f>
        <v>13975</v>
      </c>
      <c r="E37" s="189"/>
      <c r="F37" s="260">
        <f>IF(F31+F35&lt;0,FLOOR(F31+F35,-100),FLOOR(F31+F35,100))</f>
        <v>23800</v>
      </c>
      <c r="G37" s="68"/>
      <c r="H37" s="68"/>
      <c r="I37" s="68"/>
      <c r="J37" s="68"/>
      <c r="K37" s="68"/>
      <c r="L37" s="68"/>
      <c r="M37" s="68"/>
      <c r="N37" s="68"/>
      <c r="O37" s="68"/>
      <c r="P37" s="68"/>
      <c r="Q37" s="68"/>
      <c r="R37" s="68"/>
      <c r="AB37" s="53"/>
      <c r="AC37" s="53"/>
      <c r="AD37" s="53"/>
      <c r="AE37" s="53"/>
      <c r="AF37" s="53"/>
      <c r="AG37" s="53"/>
      <c r="AH37" s="53"/>
      <c r="AI37" s="53"/>
    </row>
    <row r="38" spans="1:18" s="55" customFormat="1" ht="9" customHeight="1">
      <c r="A38" s="66"/>
      <c r="B38" s="106"/>
      <c r="C38" s="122"/>
      <c r="D38" s="122"/>
      <c r="E38" s="122"/>
      <c r="F38" s="122"/>
      <c r="G38" s="68"/>
      <c r="H38" s="68"/>
      <c r="I38" s="68"/>
      <c r="J38" s="68"/>
      <c r="K38" s="68"/>
      <c r="L38" s="68"/>
      <c r="M38" s="68"/>
      <c r="N38" s="68"/>
      <c r="O38" s="68"/>
      <c r="P38" s="68"/>
      <c r="Q38" s="68"/>
      <c r="R38" s="68"/>
    </row>
    <row r="39" spans="1:18" s="55" customFormat="1" ht="30" customHeight="1">
      <c r="A39" s="66"/>
      <c r="B39" s="273" t="s">
        <v>132</v>
      </c>
      <c r="C39" s="273"/>
      <c r="D39" s="273"/>
      <c r="E39" s="273"/>
      <c r="F39" s="274"/>
      <c r="G39" s="76"/>
      <c r="H39" s="68"/>
      <c r="I39" s="68"/>
      <c r="J39" s="68"/>
      <c r="K39" s="68"/>
      <c r="L39" s="68"/>
      <c r="M39" s="68"/>
      <c r="N39" s="68"/>
      <c r="O39" s="68"/>
      <c r="P39" s="68"/>
      <c r="Q39" s="68"/>
      <c r="R39" s="68"/>
    </row>
    <row r="40" spans="1:35" ht="22.5" customHeight="1" hidden="1">
      <c r="A40" s="66"/>
      <c r="B40" s="109" t="s">
        <v>188</v>
      </c>
      <c r="C40" s="275" t="s">
        <v>189</v>
      </c>
      <c r="D40" s="275"/>
      <c r="E40" s="77"/>
      <c r="F40" s="77"/>
      <c r="G40" s="68"/>
      <c r="H40" s="68"/>
      <c r="I40" s="68"/>
      <c r="J40" s="68"/>
      <c r="K40" s="68"/>
      <c r="L40" s="68"/>
      <c r="M40" s="68"/>
      <c r="N40" s="68"/>
      <c r="O40" s="68"/>
      <c r="P40" s="68"/>
      <c r="Q40" s="68"/>
      <c r="R40" s="68"/>
      <c r="AB40" s="53"/>
      <c r="AC40" s="53"/>
      <c r="AD40" s="53"/>
      <c r="AE40" s="53"/>
      <c r="AF40" s="53"/>
      <c r="AG40" s="53"/>
      <c r="AH40" s="53"/>
      <c r="AI40" s="53"/>
    </row>
    <row r="41" spans="1:35" ht="22.5" customHeight="1" hidden="1">
      <c r="A41" s="66"/>
      <c r="B41" s="107" t="s">
        <v>4</v>
      </c>
      <c r="C41" s="81"/>
      <c r="D41" s="81"/>
      <c r="E41" s="77"/>
      <c r="F41" s="77"/>
      <c r="G41" s="68"/>
      <c r="H41" s="68"/>
      <c r="I41" s="68"/>
      <c r="J41" s="68"/>
      <c r="K41" s="68"/>
      <c r="L41" s="68"/>
      <c r="M41" s="68"/>
      <c r="N41" s="68"/>
      <c r="O41" s="68"/>
      <c r="P41" s="68"/>
      <c r="Q41" s="68"/>
      <c r="R41" s="68"/>
      <c r="AB41" s="53"/>
      <c r="AC41" s="53"/>
      <c r="AD41" s="53"/>
      <c r="AE41" s="53"/>
      <c r="AF41" s="53"/>
      <c r="AG41" s="53"/>
      <c r="AH41" s="53"/>
      <c r="AI41" s="53"/>
    </row>
    <row r="42" spans="1:35" ht="22.5" customHeight="1" hidden="1">
      <c r="A42" s="66"/>
      <c r="B42" s="107">
        <v>1</v>
      </c>
      <c r="C42" s="81"/>
      <c r="D42" s="81"/>
      <c r="E42" s="84"/>
      <c r="F42" s="77"/>
      <c r="G42" s="68"/>
      <c r="H42" s="68"/>
      <c r="I42" s="68"/>
      <c r="J42" s="68"/>
      <c r="K42" s="68"/>
      <c r="L42" s="68"/>
      <c r="M42" s="68"/>
      <c r="N42" s="68"/>
      <c r="O42" s="68"/>
      <c r="P42" s="68"/>
      <c r="Q42" s="68"/>
      <c r="R42" s="68"/>
      <c r="AB42" s="53"/>
      <c r="AC42" s="53"/>
      <c r="AD42" s="53"/>
      <c r="AE42" s="53"/>
      <c r="AF42" s="53"/>
      <c r="AG42" s="53"/>
      <c r="AH42" s="53"/>
      <c r="AI42" s="53"/>
    </row>
    <row r="43" spans="1:35" ht="22.5" customHeight="1" hidden="1">
      <c r="A43" s="66"/>
      <c r="B43" s="107">
        <v>2</v>
      </c>
      <c r="C43" s="81"/>
      <c r="D43" s="81"/>
      <c r="E43" s="84"/>
      <c r="F43" s="77"/>
      <c r="G43" s="68"/>
      <c r="H43" s="68"/>
      <c r="I43" s="68"/>
      <c r="J43" s="68"/>
      <c r="K43" s="68"/>
      <c r="L43" s="68"/>
      <c r="M43" s="68"/>
      <c r="N43" s="68"/>
      <c r="O43" s="68"/>
      <c r="P43" s="68"/>
      <c r="Q43" s="68"/>
      <c r="R43" s="68"/>
      <c r="AB43" s="53"/>
      <c r="AC43" s="53"/>
      <c r="AD43" s="53"/>
      <c r="AE43" s="53"/>
      <c r="AF43" s="53"/>
      <c r="AG43" s="53"/>
      <c r="AH43" s="53"/>
      <c r="AI43" s="53"/>
    </row>
    <row r="44" spans="1:35" ht="22.5" customHeight="1" hidden="1">
      <c r="A44" s="66"/>
      <c r="B44" s="107">
        <v>3</v>
      </c>
      <c r="C44" s="81"/>
      <c r="D44" s="81"/>
      <c r="E44" s="84"/>
      <c r="F44" s="77"/>
      <c r="G44" s="68"/>
      <c r="H44" s="68"/>
      <c r="I44" s="68"/>
      <c r="J44" s="68"/>
      <c r="K44" s="68"/>
      <c r="L44" s="68"/>
      <c r="M44" s="68"/>
      <c r="N44" s="68"/>
      <c r="O44" s="68"/>
      <c r="P44" s="68"/>
      <c r="Q44" s="68"/>
      <c r="R44" s="68"/>
      <c r="AB44" s="53"/>
      <c r="AC44" s="53"/>
      <c r="AD44" s="53"/>
      <c r="AE44" s="53"/>
      <c r="AF44" s="53"/>
      <c r="AG44" s="53"/>
      <c r="AH44" s="53"/>
      <c r="AI44" s="53"/>
    </row>
    <row r="45" spans="1:35" ht="22.5" customHeight="1" hidden="1">
      <c r="A45" s="66"/>
      <c r="B45" s="107">
        <v>4</v>
      </c>
      <c r="C45" s="81"/>
      <c r="D45" s="81"/>
      <c r="E45" s="84"/>
      <c r="F45" s="77"/>
      <c r="G45" s="68"/>
      <c r="H45" s="68"/>
      <c r="I45" s="68"/>
      <c r="J45" s="68"/>
      <c r="K45" s="68"/>
      <c r="L45" s="68"/>
      <c r="M45" s="68"/>
      <c r="N45" s="68"/>
      <c r="O45" s="68"/>
      <c r="P45" s="68"/>
      <c r="Q45" s="68"/>
      <c r="R45" s="68"/>
      <c r="AB45" s="53"/>
      <c r="AC45" s="53"/>
      <c r="AD45" s="53"/>
      <c r="AE45" s="53"/>
      <c r="AF45" s="53"/>
      <c r="AG45" s="53"/>
      <c r="AH45" s="53"/>
      <c r="AI45" s="53"/>
    </row>
    <row r="46" spans="1:35" ht="22.5" customHeight="1" hidden="1">
      <c r="A46" s="66"/>
      <c r="B46" s="107">
        <v>5</v>
      </c>
      <c r="C46" s="81"/>
      <c r="D46" s="81"/>
      <c r="E46" s="84"/>
      <c r="F46" s="77"/>
      <c r="G46" s="68"/>
      <c r="H46" s="68"/>
      <c r="I46" s="68"/>
      <c r="J46" s="68"/>
      <c r="K46" s="68"/>
      <c r="L46" s="68"/>
      <c r="M46" s="68"/>
      <c r="N46" s="68"/>
      <c r="O46" s="68"/>
      <c r="P46" s="68"/>
      <c r="Q46" s="68"/>
      <c r="R46" s="68"/>
      <c r="AB46" s="53"/>
      <c r="AC46" s="53"/>
      <c r="AD46" s="53"/>
      <c r="AE46" s="53"/>
      <c r="AF46" s="53"/>
      <c r="AG46" s="53"/>
      <c r="AH46" s="53"/>
      <c r="AI46" s="53"/>
    </row>
    <row r="47" spans="1:35" ht="22.5" customHeight="1" hidden="1">
      <c r="A47" s="66"/>
      <c r="B47" s="107">
        <v>6</v>
      </c>
      <c r="C47" s="81"/>
      <c r="D47" s="81"/>
      <c r="E47" s="84"/>
      <c r="F47" s="77"/>
      <c r="G47" s="68"/>
      <c r="H47" s="68"/>
      <c r="I47" s="68"/>
      <c r="J47" s="68"/>
      <c r="K47" s="68"/>
      <c r="L47" s="68"/>
      <c r="M47" s="68"/>
      <c r="N47" s="68"/>
      <c r="O47" s="68"/>
      <c r="P47" s="68"/>
      <c r="Q47" s="68"/>
      <c r="R47" s="68"/>
      <c r="AB47" s="53"/>
      <c r="AC47" s="53"/>
      <c r="AD47" s="53"/>
      <c r="AE47" s="53"/>
      <c r="AF47" s="53"/>
      <c r="AG47" s="53"/>
      <c r="AH47" s="53"/>
      <c r="AI47" s="53"/>
    </row>
    <row r="48" spans="1:35" ht="22.5" customHeight="1" hidden="1">
      <c r="A48" s="66"/>
      <c r="B48" s="107">
        <v>7</v>
      </c>
      <c r="C48" s="81"/>
      <c r="D48" s="81"/>
      <c r="E48" s="84"/>
      <c r="F48" s="77"/>
      <c r="G48" s="68"/>
      <c r="H48" s="68"/>
      <c r="I48" s="68"/>
      <c r="J48" s="68"/>
      <c r="K48" s="68"/>
      <c r="L48" s="68"/>
      <c r="M48" s="68"/>
      <c r="N48" s="68"/>
      <c r="O48" s="68"/>
      <c r="P48" s="68"/>
      <c r="Q48" s="68"/>
      <c r="R48" s="68"/>
      <c r="AB48" s="53"/>
      <c r="AC48" s="53"/>
      <c r="AD48" s="53"/>
      <c r="AE48" s="53"/>
      <c r="AF48" s="53"/>
      <c r="AG48" s="53"/>
      <c r="AH48" s="53"/>
      <c r="AI48" s="53"/>
    </row>
    <row r="49" spans="1:35" ht="22.5" customHeight="1" hidden="1">
      <c r="A49" s="66"/>
      <c r="B49" s="107">
        <v>8</v>
      </c>
      <c r="C49" s="81"/>
      <c r="D49" s="81"/>
      <c r="E49" s="84"/>
      <c r="F49" s="77"/>
      <c r="G49" s="68"/>
      <c r="H49" s="68"/>
      <c r="I49" s="68"/>
      <c r="J49" s="68"/>
      <c r="K49" s="68"/>
      <c r="L49" s="68"/>
      <c r="M49" s="68"/>
      <c r="N49" s="68"/>
      <c r="O49" s="68"/>
      <c r="P49" s="68"/>
      <c r="Q49" s="68"/>
      <c r="R49" s="68"/>
      <c r="AB49" s="53"/>
      <c r="AC49" s="53"/>
      <c r="AD49" s="53"/>
      <c r="AE49" s="53"/>
      <c r="AF49" s="53"/>
      <c r="AG49" s="53"/>
      <c r="AH49" s="53"/>
      <c r="AI49" s="53"/>
    </row>
    <row r="50" spans="1:35" ht="22.5" customHeight="1" hidden="1">
      <c r="A50" s="66"/>
      <c r="B50" s="107">
        <v>9</v>
      </c>
      <c r="C50" s="81"/>
      <c r="D50" s="81"/>
      <c r="E50" s="84"/>
      <c r="F50" s="77"/>
      <c r="G50" s="68"/>
      <c r="H50" s="68"/>
      <c r="I50" s="68"/>
      <c r="J50" s="68"/>
      <c r="K50" s="68"/>
      <c r="L50" s="68"/>
      <c r="M50" s="68"/>
      <c r="N50" s="68"/>
      <c r="O50" s="68"/>
      <c r="P50" s="68"/>
      <c r="Q50" s="68"/>
      <c r="R50" s="68"/>
      <c r="AB50" s="53"/>
      <c r="AC50" s="53"/>
      <c r="AD50" s="53"/>
      <c r="AE50" s="53"/>
      <c r="AF50" s="53"/>
      <c r="AG50" s="53"/>
      <c r="AH50" s="53"/>
      <c r="AI50" s="53"/>
    </row>
    <row r="51" spans="1:35" ht="22.5" customHeight="1" hidden="1">
      <c r="A51" s="66"/>
      <c r="B51" s="107">
        <v>10</v>
      </c>
      <c r="C51" s="81"/>
      <c r="D51" s="81"/>
      <c r="E51" s="84"/>
      <c r="F51" s="77"/>
      <c r="G51" s="68"/>
      <c r="H51" s="68"/>
      <c r="I51" s="68"/>
      <c r="J51" s="68"/>
      <c r="K51" s="68"/>
      <c r="L51" s="68"/>
      <c r="M51" s="68"/>
      <c r="N51" s="68"/>
      <c r="O51" s="68"/>
      <c r="P51" s="68"/>
      <c r="Q51" s="68"/>
      <c r="R51" s="68"/>
      <c r="AB51" s="53"/>
      <c r="AC51" s="53"/>
      <c r="AD51" s="53"/>
      <c r="AE51" s="53"/>
      <c r="AF51" s="53"/>
      <c r="AG51" s="53"/>
      <c r="AH51" s="53"/>
      <c r="AI51" s="53"/>
    </row>
    <row r="52" spans="1:35" ht="22.5" customHeight="1" hidden="1">
      <c r="A52" s="66"/>
      <c r="B52" s="107">
        <v>11</v>
      </c>
      <c r="C52" s="81"/>
      <c r="D52" s="81"/>
      <c r="E52" s="84"/>
      <c r="F52" s="77"/>
      <c r="G52" s="68"/>
      <c r="H52" s="68"/>
      <c r="I52" s="68"/>
      <c r="J52" s="68"/>
      <c r="K52" s="68"/>
      <c r="L52" s="68"/>
      <c r="M52" s="68"/>
      <c r="N52" s="68"/>
      <c r="O52" s="68"/>
      <c r="P52" s="68"/>
      <c r="Q52" s="68"/>
      <c r="R52" s="68"/>
      <c r="AB52" s="53"/>
      <c r="AC52" s="53"/>
      <c r="AD52" s="53"/>
      <c r="AE52" s="53"/>
      <c r="AF52" s="53"/>
      <c r="AG52" s="53"/>
      <c r="AH52" s="53"/>
      <c r="AI52" s="53"/>
    </row>
    <row r="53" spans="1:35" ht="22.5" customHeight="1" hidden="1">
      <c r="A53" s="66"/>
      <c r="B53" s="109" t="s">
        <v>191</v>
      </c>
      <c r="C53" s="85">
        <f>SUM(C41:C52)</f>
        <v>0</v>
      </c>
      <c r="D53" s="85">
        <f>SUM(D41:D52)</f>
        <v>0</v>
      </c>
      <c r="E53" s="84"/>
      <c r="F53" s="77"/>
      <c r="G53" s="68"/>
      <c r="H53" s="68"/>
      <c r="I53" s="68"/>
      <c r="J53" s="68"/>
      <c r="K53" s="68"/>
      <c r="L53" s="68"/>
      <c r="M53" s="68"/>
      <c r="N53" s="68"/>
      <c r="O53" s="68"/>
      <c r="P53" s="68"/>
      <c r="Q53" s="68"/>
      <c r="R53" s="68"/>
      <c r="AB53" s="53"/>
      <c r="AC53" s="53"/>
      <c r="AD53" s="53"/>
      <c r="AE53" s="53"/>
      <c r="AF53" s="53"/>
      <c r="AG53" s="53"/>
      <c r="AH53" s="53"/>
      <c r="AI53" s="53"/>
    </row>
    <row r="54" spans="1:18" s="55" customFormat="1" ht="9" customHeight="1">
      <c r="A54" s="66"/>
      <c r="B54" s="106"/>
      <c r="C54" s="56"/>
      <c r="D54" s="56"/>
      <c r="E54" s="56"/>
      <c r="F54" s="56"/>
      <c r="G54" s="76"/>
      <c r="H54" s="68"/>
      <c r="I54" s="68"/>
      <c r="J54" s="68"/>
      <c r="K54" s="68"/>
      <c r="L54" s="68"/>
      <c r="M54" s="68"/>
      <c r="N54" s="68"/>
      <c r="O54" s="68"/>
      <c r="P54" s="68"/>
      <c r="Q54" s="68"/>
      <c r="R54" s="68"/>
    </row>
    <row r="55" spans="1:35" ht="22.5" customHeight="1">
      <c r="A55" s="66"/>
      <c r="B55" s="173" t="s">
        <v>227</v>
      </c>
      <c r="C55" s="292" t="s">
        <v>189</v>
      </c>
      <c r="D55" s="293"/>
      <c r="E55" s="254"/>
      <c r="F55" s="255"/>
      <c r="G55" s="68"/>
      <c r="H55" s="68"/>
      <c r="I55" s="68"/>
      <c r="J55" s="68"/>
      <c r="K55" s="68"/>
      <c r="L55" s="68"/>
      <c r="M55" s="68"/>
      <c r="N55" s="68"/>
      <c r="O55" s="68"/>
      <c r="P55" s="68"/>
      <c r="Q55" s="68"/>
      <c r="R55" s="68"/>
      <c r="AB55" s="53"/>
      <c r="AC55" s="53"/>
      <c r="AD55" s="53"/>
      <c r="AE55" s="53"/>
      <c r="AF55" s="53"/>
      <c r="AG55" s="53"/>
      <c r="AH55" s="53"/>
      <c r="AI55" s="53"/>
    </row>
    <row r="56" spans="1:18" s="55" customFormat="1" ht="9" customHeight="1">
      <c r="A56" s="66"/>
      <c r="B56" s="106"/>
      <c r="C56" s="56"/>
      <c r="D56" s="56"/>
      <c r="E56" s="56"/>
      <c r="F56" s="56"/>
      <c r="G56" s="76"/>
      <c r="H56" s="68"/>
      <c r="I56" s="68"/>
      <c r="J56" s="68"/>
      <c r="K56" s="68"/>
      <c r="L56" s="68"/>
      <c r="M56" s="68"/>
      <c r="N56" s="68"/>
      <c r="O56" s="68"/>
      <c r="P56" s="68"/>
      <c r="Q56" s="68"/>
      <c r="R56" s="68"/>
    </row>
    <row r="57" spans="1:35" ht="22.5" customHeight="1">
      <c r="A57" s="66"/>
      <c r="B57" s="175" t="s">
        <v>4</v>
      </c>
      <c r="C57" s="229">
        <f>CMDryCurrentBas</f>
        <v>3</v>
      </c>
      <c r="D57" s="229">
        <f>CMDryTargetBas</f>
        <v>1</v>
      </c>
      <c r="E57" s="127"/>
      <c r="F57" s="127"/>
      <c r="G57" s="68"/>
      <c r="H57" s="68"/>
      <c r="I57" s="68"/>
      <c r="J57" s="68"/>
      <c r="K57" s="68"/>
      <c r="L57" s="68"/>
      <c r="M57" s="68"/>
      <c r="N57" s="68"/>
      <c r="O57" s="68"/>
      <c r="P57" s="68"/>
      <c r="Q57" s="68"/>
      <c r="R57" s="68"/>
      <c r="AB57" s="53"/>
      <c r="AC57" s="53"/>
      <c r="AD57" s="53"/>
      <c r="AE57" s="53"/>
      <c r="AF57" s="53"/>
      <c r="AG57" s="53"/>
      <c r="AH57" s="53"/>
      <c r="AI57" s="53"/>
    </row>
    <row r="58" spans="1:18" s="55" customFormat="1" ht="9" customHeight="1">
      <c r="A58" s="66"/>
      <c r="B58" s="106"/>
      <c r="C58" s="56"/>
      <c r="D58" s="56"/>
      <c r="E58" s="56"/>
      <c r="F58" s="56"/>
      <c r="G58" s="76"/>
      <c r="H58" s="68"/>
      <c r="I58" s="68"/>
      <c r="J58" s="68"/>
      <c r="K58" s="68"/>
      <c r="L58" s="68"/>
      <c r="M58" s="68"/>
      <c r="N58" s="68"/>
      <c r="O58" s="68"/>
      <c r="P58" s="68"/>
      <c r="Q58" s="68"/>
      <c r="R58" s="68"/>
    </row>
    <row r="59" spans="1:35" ht="22.5" customHeight="1">
      <c r="A59" s="66"/>
      <c r="B59" s="175" t="str">
        <f>VLOOKUP(ClinicalCostsInt!$B$153+0,ClinicalCostsInt!$A$127:$B$150,2)</f>
        <v>Jul</v>
      </c>
      <c r="C59" s="105">
        <v>15</v>
      </c>
      <c r="D59" s="105">
        <v>8</v>
      </c>
      <c r="E59" s="127"/>
      <c r="F59" s="127"/>
      <c r="G59" s="68"/>
      <c r="H59" s="68"/>
      <c r="I59" s="68"/>
      <c r="J59" s="68"/>
      <c r="K59" s="68"/>
      <c r="L59" s="68"/>
      <c r="M59" s="68"/>
      <c r="N59" s="68"/>
      <c r="O59" s="68"/>
      <c r="P59" s="68"/>
      <c r="Q59" s="68"/>
      <c r="R59" s="68"/>
      <c r="AB59" s="53"/>
      <c r="AC59" s="53"/>
      <c r="AD59" s="53"/>
      <c r="AE59" s="53"/>
      <c r="AF59" s="53"/>
      <c r="AG59" s="53"/>
      <c r="AH59" s="53"/>
      <c r="AI59" s="53"/>
    </row>
    <row r="60" spans="1:18" s="55" customFormat="1" ht="9" customHeight="1">
      <c r="A60" s="66"/>
      <c r="B60" s="106"/>
      <c r="C60" s="56"/>
      <c r="D60" s="56"/>
      <c r="E60" s="56"/>
      <c r="F60" s="56"/>
      <c r="G60" s="76"/>
      <c r="H60" s="68"/>
      <c r="I60" s="68"/>
      <c r="J60" s="68"/>
      <c r="K60" s="68"/>
      <c r="L60" s="68"/>
      <c r="M60" s="68"/>
      <c r="N60" s="68"/>
      <c r="O60" s="68"/>
      <c r="P60" s="68"/>
      <c r="Q60" s="68"/>
      <c r="R60" s="68"/>
    </row>
    <row r="61" spans="1:35" ht="22.5" customHeight="1">
      <c r="A61" s="66"/>
      <c r="B61" s="175" t="str">
        <f>VLOOKUP(ClinicalCostsInt!$B$153+1,ClinicalCostsInt!$A$127:$B$150,2)</f>
        <v>Aug</v>
      </c>
      <c r="C61" s="105">
        <v>15</v>
      </c>
      <c r="D61" s="105">
        <v>8</v>
      </c>
      <c r="E61" s="127"/>
      <c r="F61" s="127"/>
      <c r="G61" s="68"/>
      <c r="H61" s="68"/>
      <c r="I61" s="68"/>
      <c r="J61" s="68"/>
      <c r="K61" s="68"/>
      <c r="L61" s="68"/>
      <c r="M61" s="68"/>
      <c r="N61" s="68"/>
      <c r="O61" s="68"/>
      <c r="P61" s="68"/>
      <c r="Q61" s="68"/>
      <c r="R61" s="68"/>
      <c r="AB61" s="53"/>
      <c r="AC61" s="53"/>
      <c r="AD61" s="53"/>
      <c r="AE61" s="53"/>
      <c r="AF61" s="53"/>
      <c r="AG61" s="53"/>
      <c r="AH61" s="53"/>
      <c r="AI61" s="53"/>
    </row>
    <row r="62" spans="1:18" s="55" customFormat="1" ht="9" customHeight="1">
      <c r="A62" s="66"/>
      <c r="B62" s="106"/>
      <c r="C62" s="56"/>
      <c r="D62" s="56"/>
      <c r="E62" s="56"/>
      <c r="F62" s="56"/>
      <c r="G62" s="76"/>
      <c r="H62" s="68"/>
      <c r="I62" s="68"/>
      <c r="J62" s="68"/>
      <c r="K62" s="68"/>
      <c r="L62" s="68"/>
      <c r="M62" s="68"/>
      <c r="N62" s="68"/>
      <c r="O62" s="68"/>
      <c r="P62" s="68"/>
      <c r="Q62" s="68"/>
      <c r="R62" s="68"/>
    </row>
    <row r="63" spans="1:35" ht="22.5" customHeight="1">
      <c r="A63" s="66"/>
      <c r="B63" s="175" t="str">
        <f>VLOOKUP(ClinicalCostsInt!$B$153+2,ClinicalCostsInt!$A$127:$B$150,2)</f>
        <v>Sep</v>
      </c>
      <c r="C63" s="105">
        <v>15</v>
      </c>
      <c r="D63" s="105">
        <v>8</v>
      </c>
      <c r="E63" s="127"/>
      <c r="F63" s="127"/>
      <c r="G63" s="68"/>
      <c r="H63" s="68"/>
      <c r="I63" s="68"/>
      <c r="J63" s="68"/>
      <c r="K63" s="68"/>
      <c r="L63" s="68"/>
      <c r="M63" s="68"/>
      <c r="N63" s="68"/>
      <c r="O63" s="68"/>
      <c r="P63" s="68"/>
      <c r="Q63" s="68"/>
      <c r="R63" s="68"/>
      <c r="AB63" s="53"/>
      <c r="AC63" s="53"/>
      <c r="AD63" s="53"/>
      <c r="AE63" s="53"/>
      <c r="AF63" s="53"/>
      <c r="AG63" s="53"/>
      <c r="AH63" s="53"/>
      <c r="AI63" s="53"/>
    </row>
    <row r="64" spans="1:18" s="55" customFormat="1" ht="9" customHeight="1">
      <c r="A64" s="66"/>
      <c r="B64" s="106"/>
      <c r="C64" s="56"/>
      <c r="D64" s="56"/>
      <c r="E64" s="56"/>
      <c r="F64" s="56"/>
      <c r="G64" s="76"/>
      <c r="H64" s="68"/>
      <c r="I64" s="68"/>
      <c r="J64" s="68"/>
      <c r="K64" s="68"/>
      <c r="L64" s="68"/>
      <c r="M64" s="68"/>
      <c r="N64" s="68"/>
      <c r="O64" s="68"/>
      <c r="P64" s="68"/>
      <c r="Q64" s="68"/>
      <c r="R64" s="68"/>
    </row>
    <row r="65" spans="1:35" ht="22.5" customHeight="1">
      <c r="A65" s="66"/>
      <c r="B65" s="175" t="str">
        <f>VLOOKUP(ClinicalCostsInt!$B$153+3,ClinicalCostsInt!$A$127:$B$150,2)</f>
        <v>Oct</v>
      </c>
      <c r="C65" s="105">
        <v>15</v>
      </c>
      <c r="D65" s="105">
        <v>8</v>
      </c>
      <c r="E65" s="127"/>
      <c r="F65" s="127"/>
      <c r="G65" s="68"/>
      <c r="H65" s="68"/>
      <c r="I65" s="68"/>
      <c r="J65" s="68"/>
      <c r="K65" s="68"/>
      <c r="L65" s="68"/>
      <c r="M65" s="68"/>
      <c r="N65" s="68"/>
      <c r="O65" s="68"/>
      <c r="P65" s="68"/>
      <c r="Q65" s="68"/>
      <c r="R65" s="68"/>
      <c r="AB65" s="53"/>
      <c r="AC65" s="53"/>
      <c r="AD65" s="53"/>
      <c r="AE65" s="53"/>
      <c r="AF65" s="53"/>
      <c r="AG65" s="53"/>
      <c r="AH65" s="53"/>
      <c r="AI65" s="53"/>
    </row>
    <row r="66" spans="1:18" s="55" customFormat="1" ht="9" customHeight="1">
      <c r="A66" s="66"/>
      <c r="B66" s="106"/>
      <c r="C66" s="56"/>
      <c r="D66" s="56"/>
      <c r="E66" s="56"/>
      <c r="F66" s="56"/>
      <c r="G66" s="76"/>
      <c r="H66" s="68"/>
      <c r="I66" s="68"/>
      <c r="J66" s="68"/>
      <c r="K66" s="68"/>
      <c r="L66" s="68"/>
      <c r="M66" s="68"/>
      <c r="N66" s="68"/>
      <c r="O66" s="68"/>
      <c r="P66" s="68"/>
      <c r="Q66" s="68"/>
      <c r="R66" s="68"/>
    </row>
    <row r="67" spans="1:35" ht="22.5" customHeight="1">
      <c r="A67" s="66"/>
      <c r="B67" s="175" t="str">
        <f>VLOOKUP(ClinicalCostsInt!$B$153+4,ClinicalCostsInt!$A$127:$B$150,2)</f>
        <v>Nov</v>
      </c>
      <c r="C67" s="105">
        <v>2</v>
      </c>
      <c r="D67" s="105">
        <v>1</v>
      </c>
      <c r="E67" s="127"/>
      <c r="F67" s="127"/>
      <c r="G67" s="68"/>
      <c r="H67" s="68"/>
      <c r="I67" s="68"/>
      <c r="J67" s="68"/>
      <c r="K67" s="68"/>
      <c r="L67" s="68"/>
      <c r="M67" s="68"/>
      <c r="N67" s="68"/>
      <c r="O67" s="68"/>
      <c r="P67" s="68"/>
      <c r="Q67" s="68"/>
      <c r="R67" s="68"/>
      <c r="AB67" s="53"/>
      <c r="AC67" s="53"/>
      <c r="AD67" s="53"/>
      <c r="AE67" s="53"/>
      <c r="AF67" s="53"/>
      <c r="AG67" s="53"/>
      <c r="AH67" s="53"/>
      <c r="AI67" s="53"/>
    </row>
    <row r="68" spans="1:18" s="55" customFormat="1" ht="9" customHeight="1">
      <c r="A68" s="66"/>
      <c r="B68" s="106"/>
      <c r="C68" s="56"/>
      <c r="D68" s="56"/>
      <c r="E68" s="56"/>
      <c r="F68" s="56"/>
      <c r="G68" s="76"/>
      <c r="H68" s="68"/>
      <c r="I68" s="68"/>
      <c r="J68" s="68"/>
      <c r="K68" s="68"/>
      <c r="L68" s="68"/>
      <c r="M68" s="68"/>
      <c r="N68" s="68"/>
      <c r="O68" s="68"/>
      <c r="P68" s="68"/>
      <c r="Q68" s="68"/>
      <c r="R68" s="68"/>
    </row>
    <row r="69" spans="1:35" ht="22.5" customHeight="1">
      <c r="A69" s="66"/>
      <c r="B69" s="175" t="str">
        <f>VLOOKUP(ClinicalCostsInt!$B$153+5,ClinicalCostsInt!$A$127:$B$150,2)</f>
        <v>Dec</v>
      </c>
      <c r="C69" s="105">
        <v>2</v>
      </c>
      <c r="D69" s="105">
        <v>1</v>
      </c>
      <c r="E69" s="127"/>
      <c r="F69" s="127"/>
      <c r="G69" s="68"/>
      <c r="H69" s="68"/>
      <c r="I69" s="68"/>
      <c r="J69" s="68"/>
      <c r="K69" s="68"/>
      <c r="L69" s="68"/>
      <c r="M69" s="68"/>
      <c r="N69" s="68"/>
      <c r="O69" s="68"/>
      <c r="P69" s="68"/>
      <c r="Q69" s="68"/>
      <c r="R69" s="68"/>
      <c r="AB69" s="53"/>
      <c r="AC69" s="53"/>
      <c r="AD69" s="53"/>
      <c r="AE69" s="53"/>
      <c r="AF69" s="53"/>
      <c r="AG69" s="53"/>
      <c r="AH69" s="53"/>
      <c r="AI69" s="53"/>
    </row>
    <row r="70" spans="1:18" s="55" customFormat="1" ht="9" customHeight="1">
      <c r="A70" s="66"/>
      <c r="B70" s="106"/>
      <c r="C70" s="56"/>
      <c r="D70" s="56"/>
      <c r="E70" s="56"/>
      <c r="F70" s="56"/>
      <c r="G70" s="76"/>
      <c r="H70" s="68"/>
      <c r="I70" s="68"/>
      <c r="J70" s="68"/>
      <c r="K70" s="68"/>
      <c r="L70" s="68"/>
      <c r="M70" s="68"/>
      <c r="N70" s="68"/>
      <c r="O70" s="68"/>
      <c r="P70" s="68"/>
      <c r="Q70" s="68"/>
      <c r="R70" s="68"/>
    </row>
    <row r="71" spans="1:35" ht="22.5" customHeight="1">
      <c r="A71" s="66"/>
      <c r="B71" s="175" t="str">
        <f>VLOOKUP(ClinicalCostsInt!$B$153+6,ClinicalCostsInt!$A$127:$B$150,2)</f>
        <v>Jan</v>
      </c>
      <c r="C71" s="105">
        <v>2</v>
      </c>
      <c r="D71" s="105">
        <v>1</v>
      </c>
      <c r="E71" s="127"/>
      <c r="F71" s="127"/>
      <c r="G71" s="68"/>
      <c r="H71" s="68"/>
      <c r="I71" s="68"/>
      <c r="J71" s="68"/>
      <c r="K71" s="68"/>
      <c r="L71" s="68"/>
      <c r="M71" s="68"/>
      <c r="N71" s="68"/>
      <c r="O71" s="68"/>
      <c r="P71" s="68"/>
      <c r="Q71" s="68"/>
      <c r="R71" s="68"/>
      <c r="AB71" s="53"/>
      <c r="AC71" s="53"/>
      <c r="AD71" s="53"/>
      <c r="AE71" s="53"/>
      <c r="AF71" s="53"/>
      <c r="AG71" s="53"/>
      <c r="AH71" s="53"/>
      <c r="AI71" s="53"/>
    </row>
    <row r="72" spans="1:18" s="55" customFormat="1" ht="9" customHeight="1">
      <c r="A72" s="66"/>
      <c r="B72" s="106"/>
      <c r="C72" s="56"/>
      <c r="D72" s="56"/>
      <c r="E72" s="56"/>
      <c r="F72" s="56"/>
      <c r="G72" s="76"/>
      <c r="H72" s="68"/>
      <c r="I72" s="68"/>
      <c r="J72" s="68"/>
      <c r="K72" s="68"/>
      <c r="L72" s="68"/>
      <c r="M72" s="68"/>
      <c r="N72" s="68"/>
      <c r="O72" s="68"/>
      <c r="P72" s="68"/>
      <c r="Q72" s="68"/>
      <c r="R72" s="68"/>
    </row>
    <row r="73" spans="1:35" ht="22.5" customHeight="1">
      <c r="A73" s="66"/>
      <c r="B73" s="175" t="str">
        <f>VLOOKUP(ClinicalCostsInt!$B$153+7,ClinicalCostsInt!$A$127:$B$150,2)</f>
        <v>Feb</v>
      </c>
      <c r="C73" s="105">
        <v>2</v>
      </c>
      <c r="D73" s="105">
        <v>1</v>
      </c>
      <c r="E73" s="127"/>
      <c r="F73" s="127"/>
      <c r="G73" s="68"/>
      <c r="H73" s="68"/>
      <c r="I73" s="68"/>
      <c r="J73" s="68"/>
      <c r="K73" s="68"/>
      <c r="L73" s="68"/>
      <c r="M73" s="68"/>
      <c r="N73" s="68"/>
      <c r="O73" s="68"/>
      <c r="P73" s="68"/>
      <c r="Q73" s="68"/>
      <c r="R73" s="68"/>
      <c r="AB73" s="53"/>
      <c r="AC73" s="53"/>
      <c r="AD73" s="53"/>
      <c r="AE73" s="53"/>
      <c r="AF73" s="53"/>
      <c r="AG73" s="53"/>
      <c r="AH73" s="53"/>
      <c r="AI73" s="53"/>
    </row>
    <row r="74" spans="1:18" s="55" customFormat="1" ht="9" customHeight="1">
      <c r="A74" s="66"/>
      <c r="B74" s="106"/>
      <c r="C74" s="56"/>
      <c r="D74" s="56"/>
      <c r="E74" s="56"/>
      <c r="F74" s="56"/>
      <c r="G74" s="76"/>
      <c r="H74" s="68"/>
      <c r="I74" s="68"/>
      <c r="J74" s="68"/>
      <c r="K74" s="68"/>
      <c r="L74" s="68"/>
      <c r="M74" s="68"/>
      <c r="N74" s="68"/>
      <c r="O74" s="68"/>
      <c r="P74" s="68"/>
      <c r="Q74" s="68"/>
      <c r="R74" s="68"/>
    </row>
    <row r="75" spans="1:35" ht="22.5" customHeight="1">
      <c r="A75" s="66"/>
      <c r="B75" s="175" t="str">
        <f>VLOOKUP(ClinicalCostsInt!$B$153+8,ClinicalCostsInt!$A$127:$B$150,2)</f>
        <v>Mar</v>
      </c>
      <c r="C75" s="105">
        <v>2</v>
      </c>
      <c r="D75" s="105">
        <v>1</v>
      </c>
      <c r="E75" s="127"/>
      <c r="F75" s="127"/>
      <c r="G75" s="68"/>
      <c r="H75" s="68"/>
      <c r="I75" s="68"/>
      <c r="J75" s="68"/>
      <c r="K75" s="68"/>
      <c r="L75" s="68"/>
      <c r="M75" s="68"/>
      <c r="N75" s="68"/>
      <c r="O75" s="68"/>
      <c r="P75" s="68"/>
      <c r="Q75" s="68"/>
      <c r="R75" s="68"/>
      <c r="AB75" s="53"/>
      <c r="AC75" s="53"/>
      <c r="AD75" s="53"/>
      <c r="AE75" s="53"/>
      <c r="AF75" s="53"/>
      <c r="AG75" s="53"/>
      <c r="AH75" s="53"/>
      <c r="AI75" s="53"/>
    </row>
    <row r="76" spans="1:18" s="55" customFormat="1" ht="9" customHeight="1">
      <c r="A76" s="66"/>
      <c r="B76" s="106"/>
      <c r="C76" s="56"/>
      <c r="D76" s="56"/>
      <c r="E76" s="56"/>
      <c r="F76" s="56"/>
      <c r="G76" s="76"/>
      <c r="H76" s="68"/>
      <c r="I76" s="68"/>
      <c r="J76" s="68"/>
      <c r="K76" s="68"/>
      <c r="L76" s="68"/>
      <c r="M76" s="68"/>
      <c r="N76" s="68"/>
      <c r="O76" s="68"/>
      <c r="P76" s="68"/>
      <c r="Q76" s="68"/>
      <c r="R76" s="68"/>
    </row>
    <row r="77" spans="1:35" ht="22.5" customHeight="1">
      <c r="A77" s="66"/>
      <c r="B77" s="175" t="str">
        <f>VLOOKUP(ClinicalCostsInt!$B$153+9,ClinicalCostsInt!$A$127:$B$150,2)</f>
        <v>Apr</v>
      </c>
      <c r="C77" s="105">
        <v>2</v>
      </c>
      <c r="D77" s="105">
        <v>1</v>
      </c>
      <c r="E77" s="127"/>
      <c r="F77" s="127"/>
      <c r="G77" s="68"/>
      <c r="H77" s="68"/>
      <c r="I77" s="68"/>
      <c r="J77" s="68"/>
      <c r="K77" s="68"/>
      <c r="L77" s="68"/>
      <c r="M77" s="68"/>
      <c r="N77" s="68"/>
      <c r="O77" s="68"/>
      <c r="P77" s="68"/>
      <c r="Q77" s="68"/>
      <c r="R77" s="68"/>
      <c r="AB77" s="53"/>
      <c r="AC77" s="53"/>
      <c r="AD77" s="53"/>
      <c r="AE77" s="53"/>
      <c r="AF77" s="53"/>
      <c r="AG77" s="53"/>
      <c r="AH77" s="53"/>
      <c r="AI77" s="53"/>
    </row>
    <row r="78" spans="1:18" s="55" customFormat="1" ht="9" customHeight="1">
      <c r="A78" s="66"/>
      <c r="B78" s="106"/>
      <c r="C78" s="56"/>
      <c r="D78" s="56"/>
      <c r="E78" s="56"/>
      <c r="F78" s="56"/>
      <c r="G78" s="76"/>
      <c r="H78" s="68"/>
      <c r="I78" s="68"/>
      <c r="J78" s="68"/>
      <c r="K78" s="68"/>
      <c r="L78" s="68"/>
      <c r="M78" s="68"/>
      <c r="N78" s="68"/>
      <c r="O78" s="68"/>
      <c r="P78" s="68"/>
      <c r="Q78" s="68"/>
      <c r="R78" s="68"/>
    </row>
    <row r="79" spans="1:35" ht="22.5" customHeight="1">
      <c r="A79" s="66"/>
      <c r="B79" s="175" t="str">
        <f>VLOOKUP(ClinicalCostsInt!$B$153+10,ClinicalCostsInt!$A$127:$B$150,2)</f>
        <v>May</v>
      </c>
      <c r="C79" s="105">
        <v>0</v>
      </c>
      <c r="D79" s="105">
        <v>0</v>
      </c>
      <c r="E79" s="127"/>
      <c r="F79" s="127"/>
      <c r="G79" s="68"/>
      <c r="H79" s="68"/>
      <c r="I79" s="68"/>
      <c r="J79" s="68"/>
      <c r="K79" s="68"/>
      <c r="L79" s="68"/>
      <c r="M79" s="68"/>
      <c r="N79" s="68"/>
      <c r="O79" s="68"/>
      <c r="P79" s="68"/>
      <c r="Q79" s="68"/>
      <c r="R79" s="68"/>
      <c r="AB79" s="53"/>
      <c r="AC79" s="53"/>
      <c r="AD79" s="53"/>
      <c r="AE79" s="53"/>
      <c r="AF79" s="53"/>
      <c r="AG79" s="53"/>
      <c r="AH79" s="53"/>
      <c r="AI79" s="53"/>
    </row>
    <row r="80" spans="1:18" s="55" customFormat="1" ht="9" customHeight="1">
      <c r="A80" s="66"/>
      <c r="B80" s="106"/>
      <c r="C80" s="56"/>
      <c r="D80" s="56"/>
      <c r="E80" s="56"/>
      <c r="F80" s="56"/>
      <c r="G80" s="76"/>
      <c r="H80" s="68"/>
      <c r="I80" s="68"/>
      <c r="J80" s="68"/>
      <c r="K80" s="68"/>
      <c r="L80" s="68"/>
      <c r="M80" s="68"/>
      <c r="N80" s="68"/>
      <c r="O80" s="68"/>
      <c r="P80" s="68"/>
      <c r="Q80" s="68"/>
      <c r="R80" s="68"/>
    </row>
    <row r="81" spans="1:35" ht="36" customHeight="1">
      <c r="A81" s="66"/>
      <c r="B81" s="140" t="s">
        <v>237</v>
      </c>
      <c r="C81" s="218">
        <f>SUM(C57:C79)</f>
        <v>75</v>
      </c>
      <c r="D81" s="218">
        <f>SUM(D57:D79)</f>
        <v>39</v>
      </c>
      <c r="E81" s="127"/>
      <c r="F81" s="127"/>
      <c r="G81" s="68"/>
      <c r="H81" s="68"/>
      <c r="I81" s="68"/>
      <c r="J81" s="68"/>
      <c r="K81" s="68"/>
      <c r="L81" s="68"/>
      <c r="M81" s="68"/>
      <c r="N81" s="68"/>
      <c r="O81" s="68"/>
      <c r="P81" s="68"/>
      <c r="Q81" s="68"/>
      <c r="R81" s="68"/>
      <c r="AB81" s="53"/>
      <c r="AC81" s="53"/>
      <c r="AD81" s="53"/>
      <c r="AE81" s="53"/>
      <c r="AF81" s="53"/>
      <c r="AG81" s="53"/>
      <c r="AH81" s="53"/>
      <c r="AI81" s="53"/>
    </row>
    <row r="82" spans="1:18" s="55" customFormat="1" ht="9" customHeight="1">
      <c r="A82" s="66"/>
      <c r="B82" s="106"/>
      <c r="C82" s="56"/>
      <c r="D82" s="56"/>
      <c r="E82" s="56"/>
      <c r="F82" s="56"/>
      <c r="G82" s="76"/>
      <c r="H82" s="68"/>
      <c r="I82" s="68"/>
      <c r="J82" s="68"/>
      <c r="K82" s="68"/>
      <c r="L82" s="68"/>
      <c r="M82" s="68"/>
      <c r="N82" s="68"/>
      <c r="O82" s="68"/>
      <c r="P82" s="68"/>
      <c r="Q82" s="68"/>
      <c r="R82" s="68"/>
    </row>
    <row r="83" spans="1:35" ht="22.5" customHeight="1">
      <c r="A83" s="66"/>
      <c r="B83" s="140" t="s">
        <v>242</v>
      </c>
      <c r="C83" s="231">
        <f>CMDryCurrentInt/DryNumTotalCurrentInt</f>
        <v>0.0075</v>
      </c>
      <c r="D83" s="231">
        <f>CMDryTargetInt/DryNumTotalTargetInt</f>
        <v>0.0025</v>
      </c>
      <c r="E83" s="128">
        <v>0.01</v>
      </c>
      <c r="F83" s="127"/>
      <c r="G83" s="68"/>
      <c r="H83" s="68"/>
      <c r="I83" s="68"/>
      <c r="J83" s="68"/>
      <c r="K83" s="68"/>
      <c r="L83" s="68"/>
      <c r="M83" s="68"/>
      <c r="N83" s="68"/>
      <c r="O83" s="68"/>
      <c r="P83" s="68"/>
      <c r="Q83" s="68"/>
      <c r="R83" s="68"/>
      <c r="AB83" s="53"/>
      <c r="AC83" s="53"/>
      <c r="AD83" s="53"/>
      <c r="AE83" s="53"/>
      <c r="AF83" s="53"/>
      <c r="AG83" s="53"/>
      <c r="AH83" s="53"/>
      <c r="AI83" s="53"/>
    </row>
    <row r="84" spans="1:18" s="64" customFormat="1" ht="9" customHeight="1">
      <c r="A84" s="154"/>
      <c r="B84" s="162"/>
      <c r="C84" s="159"/>
      <c r="D84" s="159"/>
      <c r="E84" s="163"/>
      <c r="F84" s="163"/>
      <c r="G84" s="161"/>
      <c r="H84" s="72"/>
      <c r="I84" s="72"/>
      <c r="J84" s="72"/>
      <c r="K84" s="72"/>
      <c r="L84" s="72"/>
      <c r="M84" s="72"/>
      <c r="N84" s="72"/>
      <c r="O84" s="72"/>
      <c r="P84" s="72"/>
      <c r="Q84" s="72"/>
      <c r="R84" s="72"/>
    </row>
    <row r="85" spans="1:35" ht="22.5" customHeight="1">
      <c r="A85" s="66"/>
      <c r="B85" s="141" t="s">
        <v>243</v>
      </c>
      <c r="C85" s="232">
        <f>SUM(C59:C79)/CalvedNoTotalCurrent</f>
        <v>0.144</v>
      </c>
      <c r="D85" s="232">
        <f>SUM(D59:D79)/CalvedNoTotalCurrent</f>
        <v>0.076</v>
      </c>
      <c r="E85" s="214">
        <v>0.07</v>
      </c>
      <c r="F85" s="124"/>
      <c r="G85" s="68"/>
      <c r="H85" s="68"/>
      <c r="I85" s="68"/>
      <c r="J85" s="68"/>
      <c r="K85" s="68"/>
      <c r="L85" s="68"/>
      <c r="M85" s="68"/>
      <c r="N85" s="68"/>
      <c r="O85" s="68"/>
      <c r="P85" s="68"/>
      <c r="Q85" s="68"/>
      <c r="R85" s="68"/>
      <c r="AB85" s="53"/>
      <c r="AC85" s="53"/>
      <c r="AD85" s="53"/>
      <c r="AE85" s="53"/>
      <c r="AF85" s="53"/>
      <c r="AG85" s="53"/>
      <c r="AH85" s="53"/>
      <c r="AI85" s="53"/>
    </row>
    <row r="86" spans="1:18" s="64" customFormat="1" ht="9" customHeight="1">
      <c r="A86" s="154"/>
      <c r="B86" s="164"/>
      <c r="C86" s="165"/>
      <c r="D86" s="165"/>
      <c r="E86" s="166"/>
      <c r="F86" s="167"/>
      <c r="G86" s="72"/>
      <c r="H86" s="72"/>
      <c r="I86" s="72"/>
      <c r="J86" s="72"/>
      <c r="K86" s="72"/>
      <c r="L86" s="72"/>
      <c r="M86" s="72"/>
      <c r="N86" s="72"/>
      <c r="O86" s="72"/>
      <c r="P86" s="72"/>
      <c r="Q86" s="72"/>
      <c r="R86" s="72"/>
    </row>
    <row r="87" spans="1:35" ht="22.5" customHeight="1">
      <c r="A87" s="66"/>
      <c r="B87" s="140" t="s">
        <v>197</v>
      </c>
      <c r="C87" s="128">
        <f>SUM(C57:C79)/CalvedNoTotalCurrent</f>
        <v>0.15</v>
      </c>
      <c r="D87" s="128">
        <f>SUM(D57:D79)/CalvedNoTotalTarget</f>
        <v>0.078</v>
      </c>
      <c r="E87" s="128">
        <v>0.08</v>
      </c>
      <c r="F87" s="127"/>
      <c r="G87" s="68"/>
      <c r="H87" s="68"/>
      <c r="I87" s="68"/>
      <c r="J87" s="68"/>
      <c r="K87" s="68"/>
      <c r="L87" s="68"/>
      <c r="M87" s="68"/>
      <c r="N87" s="68"/>
      <c r="O87" s="68"/>
      <c r="P87" s="68"/>
      <c r="Q87" s="68"/>
      <c r="R87" s="68"/>
      <c r="AB87" s="53"/>
      <c r="AC87" s="53"/>
      <c r="AD87" s="53"/>
      <c r="AE87" s="53"/>
      <c r="AF87" s="53"/>
      <c r="AG87" s="53"/>
      <c r="AH87" s="53"/>
      <c r="AI87" s="53"/>
    </row>
    <row r="88" spans="1:35" ht="22.5" customHeight="1" hidden="1">
      <c r="A88" s="66"/>
      <c r="B88" s="142" t="s">
        <v>187</v>
      </c>
      <c r="C88" s="86" t="s">
        <v>147</v>
      </c>
      <c r="D88" s="87" t="s">
        <v>63</v>
      </c>
      <c r="E88" s="77"/>
      <c r="F88" s="88"/>
      <c r="G88" s="68"/>
      <c r="H88" s="68"/>
      <c r="I88" s="68"/>
      <c r="J88" s="68"/>
      <c r="K88" s="68"/>
      <c r="L88" s="68"/>
      <c r="M88" s="68"/>
      <c r="N88" s="68"/>
      <c r="O88" s="68"/>
      <c r="P88" s="68"/>
      <c r="Q88" s="68"/>
      <c r="R88" s="68"/>
      <c r="AB88" s="53"/>
      <c r="AC88" s="53"/>
      <c r="AD88" s="53"/>
      <c r="AE88" s="53"/>
      <c r="AF88" s="53"/>
      <c r="AG88" s="53"/>
      <c r="AH88" s="53"/>
      <c r="AI88" s="53"/>
    </row>
    <row r="89" spans="1:35" ht="22.5" customHeight="1" hidden="1">
      <c r="A89" s="66"/>
      <c r="B89" s="143"/>
      <c r="C89" s="89">
        <v>0.5</v>
      </c>
      <c r="D89" s="90">
        <v>25</v>
      </c>
      <c r="E89" s="77"/>
      <c r="F89" s="77"/>
      <c r="G89" s="68"/>
      <c r="H89" s="68"/>
      <c r="I89" s="68"/>
      <c r="J89" s="68"/>
      <c r="K89" s="68"/>
      <c r="L89" s="68"/>
      <c r="M89" s="68"/>
      <c r="N89" s="68"/>
      <c r="O89" s="68"/>
      <c r="P89" s="68"/>
      <c r="Q89" s="68"/>
      <c r="R89" s="68"/>
      <c r="AB89" s="53"/>
      <c r="AC89" s="53"/>
      <c r="AD89" s="53"/>
      <c r="AE89" s="53"/>
      <c r="AF89" s="53"/>
      <c r="AG89" s="53"/>
      <c r="AH89" s="53"/>
      <c r="AI89" s="53"/>
    </row>
    <row r="90" spans="1:35" ht="22.5" customHeight="1" hidden="1">
      <c r="A90" s="66"/>
      <c r="B90" s="144"/>
      <c r="C90" s="91">
        <v>0.5</v>
      </c>
      <c r="D90" s="90">
        <v>50</v>
      </c>
      <c r="E90" s="77"/>
      <c r="F90" s="77"/>
      <c r="G90" s="68"/>
      <c r="H90" s="68"/>
      <c r="I90" s="68"/>
      <c r="J90" s="68"/>
      <c r="K90" s="68"/>
      <c r="L90" s="68"/>
      <c r="M90" s="68"/>
      <c r="N90" s="68"/>
      <c r="O90" s="68"/>
      <c r="P90" s="68"/>
      <c r="Q90" s="68"/>
      <c r="R90" s="68"/>
      <c r="AB90" s="53"/>
      <c r="AC90" s="53"/>
      <c r="AD90" s="53"/>
      <c r="AE90" s="53"/>
      <c r="AF90" s="53"/>
      <c r="AG90" s="53"/>
      <c r="AH90" s="53"/>
      <c r="AI90" s="53"/>
    </row>
    <row r="91" spans="1:35" ht="22.5" customHeight="1" hidden="1">
      <c r="A91" s="66"/>
      <c r="B91" s="143" t="s">
        <v>127</v>
      </c>
      <c r="C91" s="84"/>
      <c r="D91" s="95">
        <f>LabourCost</f>
        <v>18</v>
      </c>
      <c r="E91" s="77"/>
      <c r="F91" s="77"/>
      <c r="G91" s="68"/>
      <c r="H91" s="68"/>
      <c r="I91" s="68"/>
      <c r="J91" s="68"/>
      <c r="K91" s="68"/>
      <c r="L91" s="68"/>
      <c r="M91" s="68"/>
      <c r="N91" s="68"/>
      <c r="O91" s="68"/>
      <c r="P91" s="68"/>
      <c r="Q91" s="68"/>
      <c r="R91" s="68"/>
      <c r="AB91" s="53"/>
      <c r="AC91" s="53"/>
      <c r="AD91" s="53"/>
      <c r="AE91" s="53"/>
      <c r="AF91" s="53"/>
      <c r="AG91" s="53"/>
      <c r="AH91" s="53"/>
      <c r="AI91" s="53"/>
    </row>
    <row r="92" spans="1:35" ht="22.5" customHeight="1" hidden="1">
      <c r="A92" s="66"/>
      <c r="B92" s="143" t="s">
        <v>150</v>
      </c>
      <c r="C92" s="77"/>
      <c r="D92" s="77"/>
      <c r="E92" s="77"/>
      <c r="F92" s="77"/>
      <c r="G92" s="68"/>
      <c r="H92" s="68"/>
      <c r="I92" s="68"/>
      <c r="J92" s="68"/>
      <c r="K92" s="68"/>
      <c r="L92" s="68"/>
      <c r="M92" s="68"/>
      <c r="N92" s="68"/>
      <c r="O92" s="68"/>
      <c r="P92" s="68"/>
      <c r="Q92" s="68"/>
      <c r="R92" s="68"/>
      <c r="AB92" s="53"/>
      <c r="AC92" s="53"/>
      <c r="AD92" s="53"/>
      <c r="AE92" s="53"/>
      <c r="AF92" s="53"/>
      <c r="AG92" s="53"/>
      <c r="AH92" s="53"/>
      <c r="AI92" s="53"/>
    </row>
    <row r="93" spans="1:35" ht="22.5" customHeight="1" hidden="1">
      <c r="A93" s="66"/>
      <c r="B93" s="143" t="s">
        <v>177</v>
      </c>
      <c r="C93" s="77"/>
      <c r="D93" s="77"/>
      <c r="E93" s="77"/>
      <c r="F93" s="77"/>
      <c r="G93" s="68"/>
      <c r="H93" s="68"/>
      <c r="I93" s="68"/>
      <c r="J93" s="68"/>
      <c r="K93" s="68"/>
      <c r="L93" s="68"/>
      <c r="M93" s="68"/>
      <c r="N93" s="68"/>
      <c r="O93" s="68"/>
      <c r="P93" s="68"/>
      <c r="Q93" s="68"/>
      <c r="R93" s="68"/>
      <c r="AB93" s="53"/>
      <c r="AC93" s="53"/>
      <c r="AD93" s="53"/>
      <c r="AE93" s="53"/>
      <c r="AF93" s="53"/>
      <c r="AG93" s="53"/>
      <c r="AH93" s="53"/>
      <c r="AI93" s="53"/>
    </row>
    <row r="94" spans="1:35" ht="22.5" customHeight="1" hidden="1">
      <c r="A94" s="66"/>
      <c r="B94" s="143" t="s">
        <v>176</v>
      </c>
      <c r="C94" s="77"/>
      <c r="D94" s="92">
        <f>Payout*MSPercentDiscardedMilk</f>
        <v>0.585</v>
      </c>
      <c r="E94" s="77"/>
      <c r="F94" s="77"/>
      <c r="G94" s="68"/>
      <c r="H94" s="68"/>
      <c r="I94" s="68"/>
      <c r="J94" s="68"/>
      <c r="K94" s="68"/>
      <c r="L94" s="68"/>
      <c r="M94" s="68"/>
      <c r="N94" s="68"/>
      <c r="O94" s="68"/>
      <c r="P94" s="68"/>
      <c r="Q94" s="68"/>
      <c r="R94" s="68"/>
      <c r="AB94" s="53"/>
      <c r="AC94" s="53"/>
      <c r="AD94" s="53"/>
      <c r="AE94" s="53"/>
      <c r="AF94" s="53"/>
      <c r="AG94" s="53"/>
      <c r="AH94" s="53"/>
      <c r="AI94" s="53"/>
    </row>
    <row r="95" spans="1:35" ht="22.5" customHeight="1" hidden="1">
      <c r="A95" s="66"/>
      <c r="B95" s="143" t="s">
        <v>175</v>
      </c>
      <c r="C95" s="77"/>
      <c r="D95" s="213">
        <f>ABMilkValue</f>
        <v>0.15</v>
      </c>
      <c r="E95" s="77"/>
      <c r="F95" s="77"/>
      <c r="G95" s="68"/>
      <c r="H95" s="68"/>
      <c r="I95" s="68"/>
      <c r="J95" s="68"/>
      <c r="K95" s="68"/>
      <c r="L95" s="68"/>
      <c r="M95" s="68"/>
      <c r="N95" s="68"/>
      <c r="O95" s="68"/>
      <c r="P95" s="68"/>
      <c r="Q95" s="68"/>
      <c r="R95" s="68"/>
      <c r="AB95" s="53"/>
      <c r="AC95" s="53"/>
      <c r="AD95" s="53"/>
      <c r="AE95" s="53"/>
      <c r="AF95" s="53"/>
      <c r="AG95" s="53"/>
      <c r="AH95" s="53"/>
      <c r="AI95" s="53"/>
    </row>
    <row r="96" spans="1:35" ht="22.5" customHeight="1" hidden="1">
      <c r="A96" s="66"/>
      <c r="B96" s="142"/>
      <c r="C96" s="86" t="s">
        <v>142</v>
      </c>
      <c r="D96" s="86" t="s">
        <v>143</v>
      </c>
      <c r="E96" s="77"/>
      <c r="F96" s="77"/>
      <c r="G96" s="68"/>
      <c r="H96" s="68"/>
      <c r="I96" s="68"/>
      <c r="J96" s="68"/>
      <c r="K96" s="68"/>
      <c r="L96" s="68"/>
      <c r="M96" s="68"/>
      <c r="N96" s="68"/>
      <c r="O96" s="68"/>
      <c r="P96" s="68"/>
      <c r="Q96" s="68"/>
      <c r="R96" s="68"/>
      <c r="AB96" s="53"/>
      <c r="AC96" s="53"/>
      <c r="AD96" s="53"/>
      <c r="AE96" s="53"/>
      <c r="AF96" s="53"/>
      <c r="AG96" s="53"/>
      <c r="AH96" s="53"/>
      <c r="AI96" s="53"/>
    </row>
    <row r="97" spans="1:35" ht="22.5" customHeight="1" hidden="1">
      <c r="A97" s="66"/>
      <c r="B97" s="144" t="s">
        <v>161</v>
      </c>
      <c r="C97" s="211">
        <f>IF(MilkDiscardInt=2,MilkDiscardTotalBaselineInt*Payout,IF(AND(MilkDiscardInt=1,ABMilkFedCalvesInt=1),MilkDiscardTotalBaselineInt*Payout*(SUM(C71:C79)/CMMilkingCurrentInt),MilkDiscardTotalBaselineInt*(Payout-ClinicalCostsInt!$B$112)))</f>
        <v>334.3668492436098</v>
      </c>
      <c r="D97" s="211">
        <f>IF(MilkDiscardInt=2,MilkDiscardTotalTargetInt*Payout,IF(AND(MilkDiscardInt=1,ABMilkFedCalvesInt=1),MilkDiscardTotalTargetInt*Payout*(SUM(D71:D79)/CMMilkingTargetInt),MilkDiscardTotalTargetInt*(Payout-ClinicalCostsInt!$B$112)))</f>
        <v>167.49104274771435</v>
      </c>
      <c r="E97" s="77"/>
      <c r="F97" s="82">
        <f>C97-D97</f>
        <v>166.87580649589546</v>
      </c>
      <c r="G97" s="68"/>
      <c r="H97" s="68"/>
      <c r="I97" s="68"/>
      <c r="J97" s="68"/>
      <c r="K97" s="68"/>
      <c r="L97" s="68"/>
      <c r="M97" s="68"/>
      <c r="N97" s="68"/>
      <c r="O97" s="68"/>
      <c r="P97" s="68"/>
      <c r="Q97" s="68"/>
      <c r="R97" s="68"/>
      <c r="AB97" s="53"/>
      <c r="AC97" s="53"/>
      <c r="AD97" s="53"/>
      <c r="AE97" s="53"/>
      <c r="AF97" s="53"/>
      <c r="AG97" s="53"/>
      <c r="AH97" s="53"/>
      <c r="AI97" s="53"/>
    </row>
    <row r="98" spans="1:35" ht="22.5" customHeight="1" hidden="1">
      <c r="A98" s="66"/>
      <c r="B98" s="144" t="s">
        <v>123</v>
      </c>
      <c r="C98" s="83">
        <f>CMDryMilkCurrentInt*((CMTreatProd1PercentInt*CMTreatProd1CostInt)+(CMTreatProd2PercentInt*CMTreatProd2CostInt))</f>
        <v>2812.5</v>
      </c>
      <c r="D98" s="83">
        <f>CMDryMilkTargetInt*((CMTreatProd1PercentInt*CMTreatProd1CostInt)+(CMTreatProd2PercentInt*CMTreatProd2CostInt))</f>
        <v>1462.5</v>
      </c>
      <c r="E98" s="77"/>
      <c r="F98" s="82">
        <f>C98-D98</f>
        <v>1350</v>
      </c>
      <c r="G98" s="68"/>
      <c r="H98" s="68"/>
      <c r="I98" s="68"/>
      <c r="J98" s="68"/>
      <c r="K98" s="68"/>
      <c r="L98" s="68"/>
      <c r="M98" s="68"/>
      <c r="N98" s="68"/>
      <c r="O98" s="68"/>
      <c r="P98" s="68"/>
      <c r="Q98" s="68"/>
      <c r="R98" s="68"/>
      <c r="AB98" s="53"/>
      <c r="AC98" s="53"/>
      <c r="AD98" s="53"/>
      <c r="AE98" s="53"/>
      <c r="AF98" s="53"/>
      <c r="AG98" s="53"/>
      <c r="AH98" s="53"/>
      <c r="AI98" s="53"/>
    </row>
    <row r="99" spans="1:35" ht="22.5" customHeight="1" hidden="1">
      <c r="A99" s="66"/>
      <c r="B99" s="144" t="s">
        <v>124</v>
      </c>
      <c r="C99" s="83">
        <f>ClinicalCostsInt!K25*Payout</f>
        <v>2396.0983568075117</v>
      </c>
      <c r="D99" s="83">
        <f>ClinicalCostsInt!L25*Payout</f>
        <v>1261.6850938967139</v>
      </c>
      <c r="E99" s="77"/>
      <c r="F99" s="82">
        <f>C99-D99</f>
        <v>1134.4132629107978</v>
      </c>
      <c r="G99" s="68"/>
      <c r="H99" s="68"/>
      <c r="I99" s="68"/>
      <c r="J99" s="68"/>
      <c r="K99" s="68"/>
      <c r="L99" s="68"/>
      <c r="M99" s="68"/>
      <c r="N99" s="68"/>
      <c r="O99" s="68"/>
      <c r="P99" s="68"/>
      <c r="Q99" s="68"/>
      <c r="R99" s="68"/>
      <c r="AB99" s="53"/>
      <c r="AC99" s="53"/>
      <c r="AD99" s="53"/>
      <c r="AE99" s="53"/>
      <c r="AF99" s="53"/>
      <c r="AG99" s="53"/>
      <c r="AH99" s="53"/>
      <c r="AI99" s="53"/>
    </row>
    <row r="100" spans="1:35" ht="28.5" customHeight="1" hidden="1">
      <c r="A100" s="66"/>
      <c r="B100" s="145" t="s">
        <v>266</v>
      </c>
      <c r="C100" s="82">
        <f>ClinicalCostsInt!B124</f>
        <v>2664.5</v>
      </c>
      <c r="D100" s="82">
        <f>ClinicalCostsInt!C124</f>
        <v>1332.25</v>
      </c>
      <c r="E100" s="77"/>
      <c r="F100" s="82">
        <f>C100-D100</f>
        <v>1332.25</v>
      </c>
      <c r="G100" s="68"/>
      <c r="H100" s="68"/>
      <c r="I100" s="68"/>
      <c r="J100" s="68"/>
      <c r="K100" s="68"/>
      <c r="L100" s="68"/>
      <c r="M100" s="68"/>
      <c r="N100" s="68"/>
      <c r="O100" s="68"/>
      <c r="P100" s="68"/>
      <c r="Q100" s="68"/>
      <c r="R100" s="68"/>
      <c r="AB100" s="53"/>
      <c r="AC100" s="53"/>
      <c r="AD100" s="53"/>
      <c r="AE100" s="53"/>
      <c r="AF100" s="53"/>
      <c r="AG100" s="53"/>
      <c r="AH100" s="53"/>
      <c r="AI100" s="53"/>
    </row>
    <row r="101" spans="1:35" ht="22.5" customHeight="1" hidden="1">
      <c r="A101" s="66"/>
      <c r="B101" s="145" t="s">
        <v>126</v>
      </c>
      <c r="C101" s="82">
        <f>CMDryMilkCurrentInt*LabourCost*TimePerCaseCM</f>
        <v>337.5</v>
      </c>
      <c r="D101" s="82">
        <f>CMDryMilkTargetInt*LabourCost*TimePerCaseCM</f>
        <v>175.5</v>
      </c>
      <c r="E101" s="77"/>
      <c r="F101" s="82">
        <f>C101-D101</f>
        <v>162</v>
      </c>
      <c r="G101" s="68"/>
      <c r="H101" s="68"/>
      <c r="I101" s="68"/>
      <c r="J101" s="68"/>
      <c r="K101" s="68"/>
      <c r="L101" s="68"/>
      <c r="M101" s="68"/>
      <c r="N101" s="68"/>
      <c r="O101" s="68"/>
      <c r="P101" s="68"/>
      <c r="Q101" s="68"/>
      <c r="R101" s="68"/>
      <c r="AB101" s="53"/>
      <c r="AC101" s="53"/>
      <c r="AD101" s="53"/>
      <c r="AE101" s="53"/>
      <c r="AF101" s="53"/>
      <c r="AG101" s="53"/>
      <c r="AH101" s="53"/>
      <c r="AI101" s="53"/>
    </row>
    <row r="102" spans="1:18" s="64" customFormat="1" ht="9" customHeight="1">
      <c r="A102" s="154"/>
      <c r="B102" s="164"/>
      <c r="C102" s="165"/>
      <c r="D102" s="165"/>
      <c r="E102" s="166"/>
      <c r="F102" s="167"/>
      <c r="G102" s="72"/>
      <c r="H102" s="72"/>
      <c r="I102" s="72"/>
      <c r="J102" s="72"/>
      <c r="K102" s="72"/>
      <c r="L102" s="72"/>
      <c r="M102" s="72"/>
      <c r="N102" s="72"/>
      <c r="O102" s="72"/>
      <c r="P102" s="72"/>
      <c r="Q102" s="72"/>
      <c r="R102" s="72"/>
    </row>
    <row r="103" spans="1:35" ht="40.5" customHeight="1">
      <c r="A103" s="66"/>
      <c r="B103" s="172" t="s">
        <v>238</v>
      </c>
      <c r="C103" s="177" t="s">
        <v>239</v>
      </c>
      <c r="D103" s="177" t="s">
        <v>240</v>
      </c>
      <c r="E103" s="176"/>
      <c r="F103" s="174"/>
      <c r="G103" s="68"/>
      <c r="H103" s="68"/>
      <c r="I103" s="68"/>
      <c r="J103" s="68"/>
      <c r="K103" s="68"/>
      <c r="L103" s="68"/>
      <c r="M103" s="68"/>
      <c r="N103" s="68"/>
      <c r="O103" s="68"/>
      <c r="P103" s="68"/>
      <c r="Q103" s="68"/>
      <c r="R103" s="68"/>
      <c r="AB103" s="53"/>
      <c r="AC103" s="53"/>
      <c r="AD103" s="53"/>
      <c r="AE103" s="53"/>
      <c r="AF103" s="53"/>
      <c r="AG103" s="53"/>
      <c r="AH103" s="53"/>
      <c r="AI103" s="53"/>
    </row>
    <row r="104" spans="1:35" ht="22.5" customHeight="1">
      <c r="A104" s="66"/>
      <c r="B104" s="140"/>
      <c r="C104" s="241">
        <v>0.5</v>
      </c>
      <c r="D104" s="242">
        <v>25</v>
      </c>
      <c r="E104" s="215"/>
      <c r="F104" s="127"/>
      <c r="G104" s="68"/>
      <c r="H104" s="68"/>
      <c r="I104" s="68"/>
      <c r="J104" s="68"/>
      <c r="K104" s="68"/>
      <c r="L104" s="68"/>
      <c r="M104" s="68"/>
      <c r="N104" s="68"/>
      <c r="O104" s="68"/>
      <c r="P104" s="68"/>
      <c r="Q104" s="68"/>
      <c r="R104" s="68"/>
      <c r="AB104" s="53"/>
      <c r="AC104" s="53"/>
      <c r="AD104" s="53"/>
      <c r="AE104" s="53"/>
      <c r="AF104" s="53"/>
      <c r="AG104" s="53"/>
      <c r="AH104" s="53"/>
      <c r="AI104" s="53"/>
    </row>
    <row r="105" spans="1:35" ht="22.5" customHeight="1">
      <c r="A105" s="66"/>
      <c r="B105" s="140"/>
      <c r="C105" s="216">
        <f>IF(ClinicalCostsInt!B94=29,0,1-C104)</f>
        <v>0.5</v>
      </c>
      <c r="D105" s="242">
        <v>50</v>
      </c>
      <c r="E105" s="215"/>
      <c r="F105" s="127"/>
      <c r="G105" s="68"/>
      <c r="H105" s="68"/>
      <c r="I105" s="68"/>
      <c r="J105" s="68"/>
      <c r="K105" s="68"/>
      <c r="L105" s="68"/>
      <c r="M105" s="68"/>
      <c r="N105" s="68"/>
      <c r="O105" s="68"/>
      <c r="P105" s="68"/>
      <c r="Q105" s="68"/>
      <c r="R105" s="68"/>
      <c r="AB105" s="53"/>
      <c r="AC105" s="53"/>
      <c r="AD105" s="53"/>
      <c r="AE105" s="53"/>
      <c r="AF105" s="53"/>
      <c r="AG105" s="53"/>
      <c r="AH105" s="53"/>
      <c r="AI105" s="53"/>
    </row>
    <row r="106" spans="1:18" s="55" customFormat="1" ht="9" customHeight="1">
      <c r="A106" s="66"/>
      <c r="B106" s="146"/>
      <c r="C106" s="120"/>
      <c r="D106" s="120"/>
      <c r="E106" s="119"/>
      <c r="F106" s="120"/>
      <c r="G106" s="68"/>
      <c r="H106" s="68"/>
      <c r="I106" s="68"/>
      <c r="J106" s="68"/>
      <c r="K106" s="68"/>
      <c r="L106" s="68"/>
      <c r="M106" s="68"/>
      <c r="N106" s="68"/>
      <c r="O106" s="68"/>
      <c r="P106" s="68"/>
      <c r="Q106" s="68"/>
      <c r="R106" s="68"/>
    </row>
    <row r="107" spans="1:35" ht="22.5" customHeight="1">
      <c r="A107" s="66"/>
      <c r="B107" s="178" t="s">
        <v>11</v>
      </c>
      <c r="C107" s="260">
        <f>SUM(C97:C101)</f>
        <v>8544.965206051122</v>
      </c>
      <c r="D107" s="260">
        <f>SUM(D97:D101)</f>
        <v>4399.426136644428</v>
      </c>
      <c r="E107" s="189"/>
      <c r="F107" s="260">
        <f>IF(SUM(F97:F101)&lt;0,FLOOR(SUM(F97:F101),-100),FLOOR(SUM(F97:F101),100))</f>
        <v>4100</v>
      </c>
      <c r="G107" s="68"/>
      <c r="H107" s="68"/>
      <c r="I107" s="68"/>
      <c r="J107" s="68"/>
      <c r="K107" s="68"/>
      <c r="L107" s="68"/>
      <c r="M107" s="68"/>
      <c r="N107" s="68"/>
      <c r="O107" s="68"/>
      <c r="P107" s="68"/>
      <c r="Q107" s="68"/>
      <c r="R107" s="68"/>
      <c r="AB107" s="53"/>
      <c r="AC107" s="53"/>
      <c r="AD107" s="53"/>
      <c r="AE107" s="53"/>
      <c r="AF107" s="53"/>
      <c r="AG107" s="53"/>
      <c r="AH107" s="53"/>
      <c r="AI107" s="53"/>
    </row>
    <row r="108" spans="1:18" s="55" customFormat="1" ht="9" customHeight="1">
      <c r="A108" s="66"/>
      <c r="B108" s="131"/>
      <c r="C108" s="56"/>
      <c r="D108" s="122"/>
      <c r="E108" s="122"/>
      <c r="F108" s="122"/>
      <c r="G108" s="76"/>
      <c r="H108" s="68"/>
      <c r="I108" s="68"/>
      <c r="J108" s="68"/>
      <c r="K108" s="68"/>
      <c r="L108" s="68"/>
      <c r="M108" s="68"/>
      <c r="N108" s="68"/>
      <c r="O108" s="68"/>
      <c r="P108" s="68"/>
      <c r="Q108" s="68"/>
      <c r="R108" s="68"/>
    </row>
    <row r="109" spans="1:18" s="55" customFormat="1" ht="30" customHeight="1">
      <c r="A109" s="66"/>
      <c r="B109" s="273" t="s">
        <v>133</v>
      </c>
      <c r="C109" s="273"/>
      <c r="D109" s="273"/>
      <c r="E109" s="273"/>
      <c r="F109" s="274"/>
      <c r="G109" s="76"/>
      <c r="H109" s="68"/>
      <c r="I109" s="68"/>
      <c r="J109" s="68"/>
      <c r="K109" s="68"/>
      <c r="L109" s="68"/>
      <c r="M109" s="68"/>
      <c r="N109" s="68"/>
      <c r="O109" s="68"/>
      <c r="P109" s="68"/>
      <c r="Q109" s="68"/>
      <c r="R109" s="68"/>
    </row>
    <row r="110" spans="1:18" s="55" customFormat="1" ht="9" customHeight="1">
      <c r="A110" s="66"/>
      <c r="B110" s="131"/>
      <c r="C110" s="56"/>
      <c r="D110" s="122"/>
      <c r="E110" s="122"/>
      <c r="F110" s="122"/>
      <c r="G110" s="76"/>
      <c r="H110" s="68"/>
      <c r="I110" s="68"/>
      <c r="J110" s="68"/>
      <c r="K110" s="68"/>
      <c r="L110" s="68"/>
      <c r="M110" s="68"/>
      <c r="N110" s="68"/>
      <c r="O110" s="68"/>
      <c r="P110" s="68"/>
      <c r="Q110" s="68"/>
      <c r="R110" s="68"/>
    </row>
    <row r="111" spans="1:35" ht="30" customHeight="1">
      <c r="A111" s="66"/>
      <c r="B111" s="140" t="s">
        <v>205</v>
      </c>
      <c r="C111" s="229">
        <f>CullMastNumCurrentBas</f>
        <v>10</v>
      </c>
      <c r="D111" s="230">
        <f>CullMastNumTargetBas</f>
        <v>5</v>
      </c>
      <c r="E111" s="134"/>
      <c r="F111" s="134"/>
      <c r="G111" s="68"/>
      <c r="H111" s="68"/>
      <c r="I111" s="68"/>
      <c r="J111" s="68"/>
      <c r="K111" s="68"/>
      <c r="L111" s="68"/>
      <c r="M111" s="68"/>
      <c r="N111" s="68"/>
      <c r="O111" s="68"/>
      <c r="P111" s="68"/>
      <c r="Q111" s="68"/>
      <c r="R111" s="68"/>
      <c r="AB111" s="53"/>
      <c r="AC111" s="53"/>
      <c r="AD111" s="53"/>
      <c r="AE111" s="53"/>
      <c r="AF111" s="53"/>
      <c r="AG111" s="53"/>
      <c r="AH111" s="53"/>
      <c r="AI111" s="53"/>
    </row>
    <row r="112" spans="1:35" ht="22.5" customHeight="1" hidden="1">
      <c r="A112" s="66"/>
      <c r="B112" s="142" t="s">
        <v>144</v>
      </c>
      <c r="C112" s="94">
        <v>0</v>
      </c>
      <c r="D112" s="94">
        <v>0</v>
      </c>
      <c r="E112" s="133"/>
      <c r="F112" s="84"/>
      <c r="G112" s="68"/>
      <c r="H112" s="68"/>
      <c r="I112" s="68"/>
      <c r="J112" s="68"/>
      <c r="K112" s="68"/>
      <c r="L112" s="68"/>
      <c r="M112" s="68"/>
      <c r="N112" s="68"/>
      <c r="O112" s="68"/>
      <c r="P112" s="68"/>
      <c r="Q112" s="68"/>
      <c r="R112" s="68"/>
      <c r="AB112" s="53"/>
      <c r="AC112" s="53"/>
      <c r="AD112" s="53"/>
      <c r="AE112" s="53"/>
      <c r="AF112" s="53"/>
      <c r="AG112" s="53"/>
      <c r="AH112" s="53"/>
      <c r="AI112" s="53"/>
    </row>
    <row r="113" spans="1:18" s="64" customFormat="1" ht="9" customHeight="1">
      <c r="A113" s="154"/>
      <c r="B113" s="168"/>
      <c r="C113" s="169"/>
      <c r="D113" s="170"/>
      <c r="E113" s="170"/>
      <c r="F113" s="169"/>
      <c r="G113" s="72"/>
      <c r="H113" s="72"/>
      <c r="I113" s="72"/>
      <c r="J113" s="72"/>
      <c r="K113" s="72"/>
      <c r="L113" s="72"/>
      <c r="M113" s="72"/>
      <c r="N113" s="72"/>
      <c r="O113" s="72"/>
      <c r="P113" s="72"/>
      <c r="Q113" s="72"/>
      <c r="R113" s="72"/>
    </row>
    <row r="114" spans="1:35" ht="30.75" customHeight="1">
      <c r="A114" s="66"/>
      <c r="B114" s="140" t="s">
        <v>206</v>
      </c>
      <c r="C114" s="229">
        <f>DiedMastNumCurrentBas</f>
        <v>2</v>
      </c>
      <c r="D114" s="229">
        <f>DiedMastNumTargetBas</f>
        <v>1</v>
      </c>
      <c r="E114" s="127"/>
      <c r="F114" s="127"/>
      <c r="G114" s="68"/>
      <c r="H114" s="68"/>
      <c r="I114" s="68"/>
      <c r="J114" s="68"/>
      <c r="K114" s="68"/>
      <c r="L114" s="68"/>
      <c r="M114" s="68"/>
      <c r="N114" s="68"/>
      <c r="O114" s="68"/>
      <c r="P114" s="68"/>
      <c r="Q114" s="68"/>
      <c r="R114" s="68"/>
      <c r="AB114" s="53"/>
      <c r="AC114" s="53"/>
      <c r="AD114" s="53"/>
      <c r="AE114" s="53"/>
      <c r="AF114" s="53"/>
      <c r="AG114" s="53"/>
      <c r="AH114" s="53"/>
      <c r="AI114" s="53"/>
    </row>
    <row r="115" spans="1:35" ht="22.5" customHeight="1" hidden="1">
      <c r="A115" s="66"/>
      <c r="B115" s="143" t="s">
        <v>61</v>
      </c>
      <c r="C115" s="84"/>
      <c r="D115" s="95">
        <f>ReplacementCost</f>
        <v>1500</v>
      </c>
      <c r="E115" s="84"/>
      <c r="F115" s="84"/>
      <c r="G115" s="68"/>
      <c r="H115" s="68"/>
      <c r="I115" s="68"/>
      <c r="J115" s="68"/>
      <c r="K115" s="68"/>
      <c r="L115" s="68"/>
      <c r="M115" s="68"/>
      <c r="N115" s="68"/>
      <c r="O115" s="68"/>
      <c r="P115" s="68"/>
      <c r="Q115" s="68"/>
      <c r="R115" s="68"/>
      <c r="AB115" s="53"/>
      <c r="AC115" s="53"/>
      <c r="AD115" s="53"/>
      <c r="AE115" s="53"/>
      <c r="AF115" s="53"/>
      <c r="AG115" s="53"/>
      <c r="AH115" s="53"/>
      <c r="AI115" s="53"/>
    </row>
    <row r="116" spans="1:35" ht="22.5" customHeight="1" hidden="1">
      <c r="A116" s="66"/>
      <c r="B116" s="143" t="s">
        <v>9</v>
      </c>
      <c r="C116" s="84"/>
      <c r="D116" s="95">
        <f>CullValue</f>
        <v>600</v>
      </c>
      <c r="E116" s="84"/>
      <c r="F116" s="84"/>
      <c r="G116" s="68"/>
      <c r="H116" s="68"/>
      <c r="I116" s="68"/>
      <c r="J116" s="68"/>
      <c r="K116" s="68"/>
      <c r="L116" s="68"/>
      <c r="M116" s="68"/>
      <c r="N116" s="68"/>
      <c r="O116" s="68"/>
      <c r="P116" s="68"/>
      <c r="Q116" s="68"/>
      <c r="R116" s="68"/>
      <c r="AB116" s="53"/>
      <c r="AC116" s="53"/>
      <c r="AD116" s="53"/>
      <c r="AE116" s="53"/>
      <c r="AF116" s="53"/>
      <c r="AG116" s="53"/>
      <c r="AH116" s="53"/>
      <c r="AI116" s="53"/>
    </row>
    <row r="117" spans="1:18" s="55" customFormat="1" ht="9" customHeight="1">
      <c r="A117" s="66"/>
      <c r="B117" s="148"/>
      <c r="C117" s="132"/>
      <c r="D117" s="136"/>
      <c r="E117" s="132"/>
      <c r="F117" s="132"/>
      <c r="G117" s="68"/>
      <c r="H117" s="68"/>
      <c r="I117" s="68"/>
      <c r="J117" s="68"/>
      <c r="K117" s="68"/>
      <c r="L117" s="68"/>
      <c r="M117" s="68"/>
      <c r="N117" s="68"/>
      <c r="O117" s="68"/>
      <c r="P117" s="68"/>
      <c r="Q117" s="68"/>
      <c r="R117" s="68"/>
    </row>
    <row r="118" spans="1:35" ht="22.5" customHeight="1">
      <c r="A118" s="66"/>
      <c r="B118" s="149" t="s">
        <v>200</v>
      </c>
      <c r="C118" s="138">
        <f>(C111+C114)/C19</f>
        <v>0.024</v>
      </c>
      <c r="D118" s="138">
        <f>(D111+D114)/D19</f>
        <v>0.012</v>
      </c>
      <c r="E118" s="138" t="s">
        <v>167</v>
      </c>
      <c r="F118" s="139"/>
      <c r="G118" s="68"/>
      <c r="H118" s="68"/>
      <c r="I118" s="68"/>
      <c r="J118" s="68"/>
      <c r="K118" s="68"/>
      <c r="L118" s="68"/>
      <c r="M118" s="68"/>
      <c r="N118" s="68"/>
      <c r="O118" s="68"/>
      <c r="P118" s="68"/>
      <c r="Q118" s="68"/>
      <c r="R118" s="68"/>
      <c r="AB118" s="53"/>
      <c r="AC118" s="53"/>
      <c r="AD118" s="53"/>
      <c r="AE118" s="53"/>
      <c r="AF118" s="53"/>
      <c r="AG118" s="53"/>
      <c r="AH118" s="53"/>
      <c r="AI118" s="53"/>
    </row>
    <row r="119" spans="1:35" ht="22.5" customHeight="1" hidden="1">
      <c r="A119" s="66"/>
      <c r="B119" s="108" t="s">
        <v>162</v>
      </c>
      <c r="C119" s="79">
        <f>CullMastNumCurrentInt*(ReplacementCost-CullValue)+(DiedMastNumCurrentInt*ReplacementCost)</f>
        <v>12000</v>
      </c>
      <c r="D119" s="79">
        <f>CullMastNumTargetInt*(ReplacementCost-CullValue)+(DiedMastNumTargetInt*ReplacementCost)</f>
        <v>6000</v>
      </c>
      <c r="E119" s="84"/>
      <c r="F119" s="79">
        <f>C119-D119</f>
        <v>6000</v>
      </c>
      <c r="G119" s="68"/>
      <c r="H119" s="68"/>
      <c r="I119" s="68"/>
      <c r="J119" s="68"/>
      <c r="K119" s="68"/>
      <c r="L119" s="68"/>
      <c r="M119" s="68"/>
      <c r="N119" s="68"/>
      <c r="O119" s="68"/>
      <c r="P119" s="68"/>
      <c r="Q119" s="68"/>
      <c r="R119" s="68"/>
      <c r="AB119" s="53"/>
      <c r="AC119" s="53"/>
      <c r="AD119" s="53"/>
      <c r="AE119" s="53"/>
      <c r="AF119" s="53"/>
      <c r="AG119" s="53"/>
      <c r="AH119" s="53"/>
      <c r="AI119" s="53"/>
    </row>
    <row r="120" spans="1:35" ht="22.5" customHeight="1" hidden="1">
      <c r="A120" s="66"/>
      <c r="B120" s="108" t="s">
        <v>163</v>
      </c>
      <c r="C120" s="79">
        <f>CullingCostsInt!B17</f>
        <v>5187</v>
      </c>
      <c r="D120" s="79">
        <f>CullingCostsInt!C17</f>
        <v>2593.5</v>
      </c>
      <c r="E120" s="84"/>
      <c r="F120" s="79">
        <f>C120-D120</f>
        <v>2593.5</v>
      </c>
      <c r="G120" s="68"/>
      <c r="H120" s="68"/>
      <c r="I120" s="68"/>
      <c r="J120" s="68"/>
      <c r="K120" s="68"/>
      <c r="L120" s="68"/>
      <c r="M120" s="68"/>
      <c r="N120" s="68"/>
      <c r="O120" s="68"/>
      <c r="P120" s="68"/>
      <c r="Q120" s="68"/>
      <c r="R120" s="68"/>
      <c r="AB120" s="53"/>
      <c r="AC120" s="53"/>
      <c r="AD120" s="53"/>
      <c r="AE120" s="53"/>
      <c r="AF120" s="53"/>
      <c r="AG120" s="53"/>
      <c r="AH120" s="53"/>
      <c r="AI120" s="53"/>
    </row>
    <row r="121" spans="1:35" ht="22.5" customHeight="1" hidden="1">
      <c r="A121" s="66"/>
      <c r="B121" s="110" t="s">
        <v>164</v>
      </c>
      <c r="C121" s="79">
        <f>DiedMastNumCurrentInt*(ProdCurrent/CalvedNoTotalCurrent)*Payout</f>
        <v>4550</v>
      </c>
      <c r="D121" s="79">
        <f>DiedMastNumTargetInt*(ProdCurrent/CalvedNoTotalCurrent)*Payout</f>
        <v>2275</v>
      </c>
      <c r="E121" s="84"/>
      <c r="F121" s="79">
        <f>C121-D121</f>
        <v>2275</v>
      </c>
      <c r="G121" s="68"/>
      <c r="H121" s="68"/>
      <c r="I121" s="68"/>
      <c r="J121" s="68"/>
      <c r="K121" s="68"/>
      <c r="L121" s="68"/>
      <c r="M121" s="68"/>
      <c r="N121" s="68"/>
      <c r="O121" s="68"/>
      <c r="P121" s="68"/>
      <c r="Q121" s="68"/>
      <c r="R121" s="68"/>
      <c r="AB121" s="53"/>
      <c r="AC121" s="53"/>
      <c r="AD121" s="53"/>
      <c r="AE121" s="53"/>
      <c r="AF121" s="53"/>
      <c r="AG121" s="53"/>
      <c r="AH121" s="53"/>
      <c r="AI121" s="53"/>
    </row>
    <row r="122" spans="1:35" ht="22.5" customHeight="1" hidden="1">
      <c r="A122" s="66"/>
      <c r="B122" s="108" t="s">
        <v>165</v>
      </c>
      <c r="C122" s="79">
        <f>CullingCostsInt!B7</f>
        <v>0</v>
      </c>
      <c r="D122" s="79">
        <f>CullingCostsInt!C7</f>
        <v>0</v>
      </c>
      <c r="E122" s="84"/>
      <c r="F122" s="79">
        <f>C122-D122</f>
        <v>0</v>
      </c>
      <c r="G122" s="68"/>
      <c r="H122" s="68"/>
      <c r="I122" s="68"/>
      <c r="J122" s="68"/>
      <c r="K122" s="68"/>
      <c r="L122" s="68"/>
      <c r="M122" s="68"/>
      <c r="N122" s="68"/>
      <c r="O122" s="68"/>
      <c r="P122" s="68"/>
      <c r="Q122" s="68"/>
      <c r="R122" s="68"/>
      <c r="AB122" s="53"/>
      <c r="AC122" s="53"/>
      <c r="AD122" s="53"/>
      <c r="AE122" s="53"/>
      <c r="AF122" s="53"/>
      <c r="AG122" s="53"/>
      <c r="AH122" s="53"/>
      <c r="AI122" s="53"/>
    </row>
    <row r="123" spans="1:35" ht="22.5" customHeight="1" hidden="1">
      <c r="A123" s="66"/>
      <c r="B123" s="108" t="s">
        <v>166</v>
      </c>
      <c r="C123" s="96">
        <f>CullingCostsInt!B13</f>
        <v>0</v>
      </c>
      <c r="D123" s="96">
        <f>CullingCostsInt!C13</f>
        <v>0</v>
      </c>
      <c r="E123" s="84"/>
      <c r="F123" s="79">
        <f>C123-D123</f>
        <v>0</v>
      </c>
      <c r="G123" s="68"/>
      <c r="H123" s="68"/>
      <c r="I123" s="68"/>
      <c r="J123" s="68"/>
      <c r="K123" s="68"/>
      <c r="L123" s="68"/>
      <c r="M123" s="68"/>
      <c r="N123" s="68"/>
      <c r="O123" s="68"/>
      <c r="P123" s="68"/>
      <c r="Q123" s="68"/>
      <c r="R123" s="68"/>
      <c r="AB123" s="53"/>
      <c r="AC123" s="53"/>
      <c r="AD123" s="53"/>
      <c r="AE123" s="53"/>
      <c r="AF123" s="53"/>
      <c r="AG123" s="53"/>
      <c r="AH123" s="53"/>
      <c r="AI123" s="53"/>
    </row>
    <row r="124" spans="1:18" s="55" customFormat="1" ht="9" customHeight="1">
      <c r="A124" s="66"/>
      <c r="B124" s="117"/>
      <c r="C124" s="137"/>
      <c r="D124" s="137"/>
      <c r="E124" s="135"/>
      <c r="F124" s="150"/>
      <c r="G124" s="68"/>
      <c r="H124" s="68"/>
      <c r="I124" s="68"/>
      <c r="J124" s="68"/>
      <c r="K124" s="68"/>
      <c r="L124" s="68"/>
      <c r="M124" s="68"/>
      <c r="N124" s="68"/>
      <c r="O124" s="68"/>
      <c r="P124" s="68"/>
      <c r="Q124" s="68"/>
      <c r="R124" s="68"/>
    </row>
    <row r="125" spans="1:35" ht="22.5" customHeight="1">
      <c r="A125" s="66"/>
      <c r="B125" s="178" t="s">
        <v>11</v>
      </c>
      <c r="C125" s="260">
        <f>SUM(C119:C123)</f>
        <v>21737</v>
      </c>
      <c r="D125" s="260">
        <f>SUM(D119:D123)</f>
        <v>10868.5</v>
      </c>
      <c r="E125" s="192"/>
      <c r="F125" s="260">
        <f>IF(SUM(F119:F123)&lt;0,FLOOR(SUM(F119:F123),-100),FLOOR(SUM(F119:F123),100))</f>
        <v>10800</v>
      </c>
      <c r="G125" s="68"/>
      <c r="H125" s="68"/>
      <c r="I125" s="68"/>
      <c r="J125" s="68"/>
      <c r="K125" s="68"/>
      <c r="L125" s="68"/>
      <c r="M125" s="68"/>
      <c r="N125" s="68"/>
      <c r="O125" s="68"/>
      <c r="P125" s="68"/>
      <c r="Q125" s="68"/>
      <c r="R125" s="68"/>
      <c r="AB125" s="53"/>
      <c r="AC125" s="53"/>
      <c r="AD125" s="53"/>
      <c r="AE125" s="53"/>
      <c r="AF125" s="53"/>
      <c r="AG125" s="53"/>
      <c r="AH125" s="53"/>
      <c r="AI125" s="53"/>
    </row>
    <row r="126" spans="1:18" s="55" customFormat="1" ht="9" customHeight="1">
      <c r="A126" s="66"/>
      <c r="B126" s="131"/>
      <c r="C126" s="122"/>
      <c r="D126" s="56"/>
      <c r="E126" s="122"/>
      <c r="F126" s="122"/>
      <c r="G126" s="76"/>
      <c r="H126" s="68"/>
      <c r="I126" s="68"/>
      <c r="J126" s="68"/>
      <c r="K126" s="68"/>
      <c r="L126" s="68"/>
      <c r="M126" s="68"/>
      <c r="N126" s="68"/>
      <c r="O126" s="68"/>
      <c r="P126" s="68"/>
      <c r="Q126" s="68"/>
      <c r="R126" s="68"/>
    </row>
    <row r="127" spans="1:35" ht="22.5" customHeight="1">
      <c r="A127" s="66"/>
      <c r="B127" s="123" t="s">
        <v>128</v>
      </c>
      <c r="C127" s="259">
        <f>C37+C107+C125</f>
        <v>68144.46520605113</v>
      </c>
      <c r="D127" s="261">
        <f>D37+D107+D125</f>
        <v>29242.926136644426</v>
      </c>
      <c r="E127" s="151"/>
      <c r="F127" s="261">
        <f>SUM(F37,F107,F125)</f>
        <v>38700</v>
      </c>
      <c r="G127" s="68"/>
      <c r="H127" s="68"/>
      <c r="I127" s="68"/>
      <c r="J127" s="68"/>
      <c r="K127" s="68"/>
      <c r="L127" s="68"/>
      <c r="M127" s="68"/>
      <c r="N127" s="68"/>
      <c r="O127" s="68"/>
      <c r="P127" s="68"/>
      <c r="Q127" s="68"/>
      <c r="R127" s="68"/>
      <c r="AB127" s="53"/>
      <c r="AC127" s="53"/>
      <c r="AD127" s="53"/>
      <c r="AE127" s="53"/>
      <c r="AF127" s="53"/>
      <c r="AG127" s="53"/>
      <c r="AH127" s="53"/>
      <c r="AI127" s="53"/>
    </row>
    <row r="128" spans="1:35" ht="22.5" customHeight="1">
      <c r="A128" s="66"/>
      <c r="B128" s="131"/>
      <c r="C128" s="122"/>
      <c r="D128" s="122"/>
      <c r="E128" s="122"/>
      <c r="F128" s="122"/>
      <c r="G128" s="68"/>
      <c r="H128" s="68"/>
      <c r="I128" s="68"/>
      <c r="J128" s="68"/>
      <c r="K128" s="68"/>
      <c r="L128" s="68"/>
      <c r="M128" s="68"/>
      <c r="N128" s="68"/>
      <c r="O128" s="68"/>
      <c r="P128" s="68"/>
      <c r="Q128" s="68"/>
      <c r="R128" s="68"/>
      <c r="AB128" s="53"/>
      <c r="AC128" s="53"/>
      <c r="AD128" s="53"/>
      <c r="AE128" s="53"/>
      <c r="AF128" s="53"/>
      <c r="AG128" s="53"/>
      <c r="AH128" s="53"/>
      <c r="AI128" s="53"/>
    </row>
    <row r="129" spans="1:35" ht="22.5" customHeight="1">
      <c r="A129" s="66"/>
      <c r="B129" s="106"/>
      <c r="C129" s="153"/>
      <c r="D129" s="153"/>
      <c r="E129" s="153"/>
      <c r="F129" s="153"/>
      <c r="G129" s="68"/>
      <c r="H129" s="68"/>
      <c r="I129" s="68"/>
      <c r="J129" s="68"/>
      <c r="K129" s="68"/>
      <c r="L129" s="68"/>
      <c r="M129" s="68"/>
      <c r="N129" s="68"/>
      <c r="O129" s="68"/>
      <c r="P129" s="68"/>
      <c r="Q129" s="68"/>
      <c r="R129" s="68"/>
      <c r="AB129" s="53"/>
      <c r="AC129" s="53"/>
      <c r="AD129" s="53"/>
      <c r="AE129" s="53"/>
      <c r="AF129" s="53"/>
      <c r="AG129" s="53"/>
      <c r="AH129" s="53"/>
      <c r="AI129" s="53"/>
    </row>
    <row r="130" spans="1:35" ht="22.5" customHeight="1">
      <c r="A130" s="66"/>
      <c r="B130" s="152"/>
      <c r="C130" s="153"/>
      <c r="D130" s="153"/>
      <c r="E130" s="153"/>
      <c r="F130" s="153"/>
      <c r="G130" s="68"/>
      <c r="H130" s="68"/>
      <c r="I130" s="68"/>
      <c r="J130" s="68"/>
      <c r="K130" s="68"/>
      <c r="L130" s="68"/>
      <c r="M130" s="68"/>
      <c r="N130" s="68"/>
      <c r="O130" s="68"/>
      <c r="P130" s="68"/>
      <c r="Q130" s="68"/>
      <c r="R130" s="68"/>
      <c r="AB130" s="53"/>
      <c r="AC130" s="53"/>
      <c r="AD130" s="53"/>
      <c r="AE130" s="53"/>
      <c r="AF130" s="53"/>
      <c r="AG130" s="53"/>
      <c r="AH130" s="53"/>
      <c r="AI130" s="53"/>
    </row>
    <row r="131" spans="2:18" s="55" customFormat="1" ht="15">
      <c r="B131" s="66"/>
      <c r="C131" s="76"/>
      <c r="D131" s="76"/>
      <c r="E131" s="76"/>
      <c r="F131" s="76"/>
      <c r="G131" s="68"/>
      <c r="H131" s="68"/>
      <c r="I131" s="68"/>
      <c r="J131" s="68"/>
      <c r="K131" s="68"/>
      <c r="L131" s="68"/>
      <c r="M131" s="68"/>
      <c r="N131" s="68"/>
      <c r="O131" s="68"/>
      <c r="P131" s="68"/>
      <c r="Q131" s="68"/>
      <c r="R131" s="68"/>
    </row>
    <row r="132" spans="2:18" s="55" customFormat="1" ht="15">
      <c r="B132" s="68"/>
      <c r="C132" s="68"/>
      <c r="D132" s="68"/>
      <c r="E132" s="68"/>
      <c r="F132" s="76"/>
      <c r="G132" s="68"/>
      <c r="H132" s="68"/>
      <c r="I132" s="68"/>
      <c r="J132" s="68"/>
      <c r="K132" s="68"/>
      <c r="L132" s="68"/>
      <c r="M132" s="68"/>
      <c r="N132" s="68"/>
      <c r="O132" s="68"/>
      <c r="P132" s="68"/>
      <c r="Q132" s="68"/>
      <c r="R132" s="68"/>
    </row>
    <row r="133" spans="2:18" s="55" customFormat="1" ht="15" customHeight="1">
      <c r="B133" s="68"/>
      <c r="C133" s="68"/>
      <c r="D133" s="68"/>
      <c r="E133" s="68"/>
      <c r="F133" s="68"/>
      <c r="G133" s="68"/>
      <c r="H133" s="68"/>
      <c r="I133" s="68"/>
      <c r="J133" s="68"/>
      <c r="K133" s="68"/>
      <c r="L133" s="68"/>
      <c r="M133" s="68"/>
      <c r="N133" s="68"/>
      <c r="O133" s="68"/>
      <c r="P133" s="68"/>
      <c r="Q133" s="68"/>
      <c r="R133" s="68"/>
    </row>
    <row r="134" spans="2:18" s="55" customFormat="1" ht="15" customHeight="1">
      <c r="B134" s="276"/>
      <c r="C134" s="276"/>
      <c r="D134" s="276"/>
      <c r="E134" s="276"/>
      <c r="F134" s="276"/>
      <c r="G134" s="68"/>
      <c r="H134" s="68"/>
      <c r="I134" s="68"/>
      <c r="J134" s="68"/>
      <c r="K134" s="68"/>
      <c r="L134" s="68"/>
      <c r="M134" s="68"/>
      <c r="N134" s="68"/>
      <c r="O134" s="68"/>
      <c r="P134" s="68"/>
      <c r="Q134" s="68"/>
      <c r="R134" s="68"/>
    </row>
    <row r="135" spans="2:18" s="55" customFormat="1" ht="15" customHeight="1">
      <c r="B135" s="68"/>
      <c r="C135" s="68"/>
      <c r="D135" s="68"/>
      <c r="E135" s="68"/>
      <c r="F135" s="68"/>
      <c r="G135" s="68"/>
      <c r="H135" s="68"/>
      <c r="I135" s="68"/>
      <c r="J135" s="68"/>
      <c r="K135" s="68"/>
      <c r="L135" s="68"/>
      <c r="M135" s="68"/>
      <c r="N135" s="68"/>
      <c r="O135" s="68"/>
      <c r="P135" s="68"/>
      <c r="Q135" s="68"/>
      <c r="R135" s="68"/>
    </row>
    <row r="136" spans="2:18" s="55" customFormat="1" ht="15">
      <c r="B136" s="68"/>
      <c r="C136" s="68"/>
      <c r="D136" s="68"/>
      <c r="E136" s="68"/>
      <c r="F136" s="68"/>
      <c r="G136" s="68"/>
      <c r="H136" s="68"/>
      <c r="I136" s="68"/>
      <c r="J136" s="68"/>
      <c r="K136" s="68"/>
      <c r="L136" s="68"/>
      <c r="M136" s="68"/>
      <c r="N136" s="68"/>
      <c r="O136" s="68"/>
      <c r="P136" s="68"/>
      <c r="Q136" s="68"/>
      <c r="R136" s="68"/>
    </row>
    <row r="137" spans="2:18" s="55" customFormat="1" ht="15">
      <c r="B137" s="68"/>
      <c r="C137" s="68"/>
      <c r="D137" s="68"/>
      <c r="E137" s="68"/>
      <c r="F137" s="68"/>
      <c r="G137" s="68"/>
      <c r="H137" s="68"/>
      <c r="I137" s="68"/>
      <c r="J137" s="68"/>
      <c r="K137" s="68"/>
      <c r="L137" s="68"/>
      <c r="M137" s="68"/>
      <c r="N137" s="68"/>
      <c r="O137" s="68"/>
      <c r="P137" s="68"/>
      <c r="Q137" s="68"/>
      <c r="R137" s="68"/>
    </row>
    <row r="138" spans="2:18" s="55" customFormat="1" ht="15">
      <c r="B138" s="68"/>
      <c r="C138" s="68"/>
      <c r="D138" s="68"/>
      <c r="E138" s="68"/>
      <c r="F138" s="68"/>
      <c r="G138" s="68"/>
      <c r="H138" s="68"/>
      <c r="I138" s="68"/>
      <c r="J138" s="68"/>
      <c r="K138" s="68"/>
      <c r="L138" s="68"/>
      <c r="M138" s="68"/>
      <c r="N138" s="68"/>
      <c r="O138" s="68"/>
      <c r="P138" s="68"/>
      <c r="Q138" s="68"/>
      <c r="R138" s="68"/>
    </row>
    <row r="139" spans="2:18" s="55" customFormat="1" ht="15">
      <c r="B139" s="68"/>
      <c r="C139" s="68"/>
      <c r="D139" s="68"/>
      <c r="E139" s="68"/>
      <c r="F139" s="68"/>
      <c r="G139" s="68"/>
      <c r="H139" s="68"/>
      <c r="I139" s="68"/>
      <c r="J139" s="68"/>
      <c r="K139" s="68"/>
      <c r="L139" s="68"/>
      <c r="M139" s="68"/>
      <c r="N139" s="68"/>
      <c r="O139" s="68"/>
      <c r="P139" s="68"/>
      <c r="Q139" s="68"/>
      <c r="R139" s="68"/>
    </row>
    <row r="140" spans="2:18" s="55" customFormat="1" ht="15">
      <c r="B140" s="68"/>
      <c r="C140" s="68"/>
      <c r="D140" s="68"/>
      <c r="E140" s="68"/>
      <c r="F140" s="68"/>
      <c r="G140" s="68"/>
      <c r="H140" s="68"/>
      <c r="I140" s="68"/>
      <c r="J140" s="68"/>
      <c r="K140" s="68"/>
      <c r="L140" s="68"/>
      <c r="M140" s="68"/>
      <c r="N140" s="68"/>
      <c r="O140" s="68"/>
      <c r="P140" s="68"/>
      <c r="Q140" s="68"/>
      <c r="R140" s="68"/>
    </row>
    <row r="141" spans="2:18" s="55" customFormat="1" ht="15">
      <c r="B141" s="68"/>
      <c r="C141" s="68"/>
      <c r="D141" s="68"/>
      <c r="E141" s="68"/>
      <c r="F141" s="68"/>
      <c r="G141" s="68"/>
      <c r="H141" s="68"/>
      <c r="I141" s="68"/>
      <c r="J141" s="68"/>
      <c r="K141" s="68"/>
      <c r="L141" s="68"/>
      <c r="M141" s="68"/>
      <c r="N141" s="68"/>
      <c r="O141" s="68"/>
      <c r="P141" s="68"/>
      <c r="Q141" s="68"/>
      <c r="R141" s="68"/>
    </row>
    <row r="142" spans="2:18" s="55" customFormat="1" ht="15">
      <c r="B142" s="68"/>
      <c r="C142" s="68"/>
      <c r="D142" s="68"/>
      <c r="E142" s="68"/>
      <c r="F142" s="68"/>
      <c r="G142" s="68"/>
      <c r="H142" s="68"/>
      <c r="I142" s="68"/>
      <c r="J142" s="68"/>
      <c r="K142" s="68"/>
      <c r="L142" s="68"/>
      <c r="M142" s="68"/>
      <c r="N142" s="68"/>
      <c r="O142" s="68"/>
      <c r="P142" s="68"/>
      <c r="Q142" s="68"/>
      <c r="R142" s="68"/>
    </row>
    <row r="143" spans="2:18" s="55" customFormat="1" ht="15">
      <c r="B143" s="68"/>
      <c r="C143" s="68"/>
      <c r="D143" s="68"/>
      <c r="E143" s="68"/>
      <c r="F143" s="68"/>
      <c r="G143" s="68"/>
      <c r="H143" s="68"/>
      <c r="I143" s="68"/>
      <c r="J143" s="68"/>
      <c r="K143" s="68"/>
      <c r="L143" s="68"/>
      <c r="M143" s="68"/>
      <c r="N143" s="68"/>
      <c r="O143" s="68"/>
      <c r="P143" s="68"/>
      <c r="Q143" s="68"/>
      <c r="R143" s="68"/>
    </row>
    <row r="144" spans="2:18" s="55" customFormat="1" ht="15">
      <c r="B144" s="68"/>
      <c r="C144" s="68"/>
      <c r="D144" s="68"/>
      <c r="E144" s="68"/>
      <c r="F144" s="68"/>
      <c r="G144" s="68"/>
      <c r="H144" s="68"/>
      <c r="I144" s="68"/>
      <c r="J144" s="68"/>
      <c r="K144" s="68"/>
      <c r="L144" s="68"/>
      <c r="M144" s="68"/>
      <c r="N144" s="68"/>
      <c r="O144" s="68"/>
      <c r="P144" s="68"/>
      <c r="Q144" s="68"/>
      <c r="R144" s="68"/>
    </row>
    <row r="145" spans="2:18" s="55" customFormat="1" ht="15">
      <c r="B145" s="68"/>
      <c r="C145" s="68"/>
      <c r="D145" s="68"/>
      <c r="E145" s="68"/>
      <c r="F145" s="68"/>
      <c r="G145" s="68"/>
      <c r="H145" s="68"/>
      <c r="I145" s="68"/>
      <c r="J145" s="68"/>
      <c r="K145" s="68"/>
      <c r="L145" s="68"/>
      <c r="M145" s="68"/>
      <c r="N145" s="68"/>
      <c r="O145" s="68"/>
      <c r="P145" s="68"/>
      <c r="Q145" s="68"/>
      <c r="R145" s="68"/>
    </row>
    <row r="146" spans="2:18" s="55" customFormat="1" ht="15">
      <c r="B146" s="68"/>
      <c r="C146" s="68"/>
      <c r="D146" s="68"/>
      <c r="E146" s="68"/>
      <c r="F146" s="68"/>
      <c r="G146" s="68"/>
      <c r="H146" s="68"/>
      <c r="I146" s="68"/>
      <c r="J146" s="68"/>
      <c r="K146" s="68"/>
      <c r="L146" s="68"/>
      <c r="M146" s="68"/>
      <c r="N146" s="68"/>
      <c r="O146" s="68"/>
      <c r="P146" s="68"/>
      <c r="Q146" s="68"/>
      <c r="R146" s="68"/>
    </row>
    <row r="147" spans="2:18" s="55" customFormat="1" ht="15">
      <c r="B147" s="68"/>
      <c r="C147" s="68"/>
      <c r="D147" s="68"/>
      <c r="E147" s="68"/>
      <c r="F147" s="68"/>
      <c r="G147" s="68"/>
      <c r="H147" s="68"/>
      <c r="I147" s="68"/>
      <c r="J147" s="68"/>
      <c r="K147" s="68"/>
      <c r="L147" s="68"/>
      <c r="M147" s="68"/>
      <c r="N147" s="68"/>
      <c r="O147" s="68"/>
      <c r="P147" s="68"/>
      <c r="Q147" s="68"/>
      <c r="R147" s="68"/>
    </row>
    <row r="148" spans="2:18" s="55" customFormat="1" ht="15">
      <c r="B148" s="68"/>
      <c r="C148" s="68"/>
      <c r="D148" s="68"/>
      <c r="E148" s="68"/>
      <c r="F148" s="68"/>
      <c r="G148" s="68"/>
      <c r="H148" s="68"/>
      <c r="I148" s="68"/>
      <c r="J148" s="68"/>
      <c r="K148" s="68"/>
      <c r="L148" s="68"/>
      <c r="M148" s="68"/>
      <c r="N148" s="68"/>
      <c r="O148" s="68"/>
      <c r="P148" s="68"/>
      <c r="Q148" s="68"/>
      <c r="R148" s="68"/>
    </row>
    <row r="149" spans="2:18" s="55" customFormat="1" ht="15">
      <c r="B149" s="68"/>
      <c r="C149" s="68"/>
      <c r="D149" s="68"/>
      <c r="E149" s="68"/>
      <c r="F149" s="68"/>
      <c r="G149" s="68"/>
      <c r="H149" s="68"/>
      <c r="I149" s="68"/>
      <c r="J149" s="68"/>
      <c r="K149" s="68"/>
      <c r="L149" s="68"/>
      <c r="M149" s="68"/>
      <c r="N149" s="68"/>
      <c r="O149" s="68"/>
      <c r="P149" s="68"/>
      <c r="Q149" s="68"/>
      <c r="R149" s="68"/>
    </row>
    <row r="150" spans="2:18" s="55" customFormat="1" ht="15">
      <c r="B150" s="68"/>
      <c r="C150" s="68"/>
      <c r="D150" s="68"/>
      <c r="E150" s="68"/>
      <c r="F150" s="68"/>
      <c r="G150" s="68"/>
      <c r="H150" s="68"/>
      <c r="I150" s="68"/>
      <c r="J150" s="68"/>
      <c r="K150" s="68"/>
      <c r="L150" s="68"/>
      <c r="M150" s="68"/>
      <c r="N150" s="68"/>
      <c r="O150" s="68"/>
      <c r="P150" s="68"/>
      <c r="Q150" s="68"/>
      <c r="R150" s="68"/>
    </row>
    <row r="151" spans="2:18" s="55" customFormat="1" ht="15">
      <c r="B151" s="68"/>
      <c r="C151" s="68"/>
      <c r="D151" s="68"/>
      <c r="E151" s="68"/>
      <c r="F151" s="68"/>
      <c r="G151" s="68"/>
      <c r="H151" s="68"/>
      <c r="I151" s="68"/>
      <c r="J151" s="68"/>
      <c r="K151" s="68"/>
      <c r="L151" s="68"/>
      <c r="M151" s="68"/>
      <c r="N151" s="68"/>
      <c r="O151" s="68"/>
      <c r="P151" s="68"/>
      <c r="Q151" s="68"/>
      <c r="R151" s="68"/>
    </row>
    <row r="152" spans="2:18" s="55" customFormat="1" ht="15">
      <c r="B152" s="68"/>
      <c r="C152" s="68"/>
      <c r="D152" s="68"/>
      <c r="E152" s="68"/>
      <c r="F152" s="68"/>
      <c r="G152" s="68"/>
      <c r="H152" s="68"/>
      <c r="I152" s="68"/>
      <c r="J152" s="68"/>
      <c r="K152" s="68"/>
      <c r="L152" s="68"/>
      <c r="M152" s="68"/>
      <c r="N152" s="68"/>
      <c r="O152" s="68"/>
      <c r="P152" s="68"/>
      <c r="Q152" s="68"/>
      <c r="R152" s="68"/>
    </row>
    <row r="153" spans="2:18" s="55" customFormat="1" ht="15">
      <c r="B153" s="68"/>
      <c r="C153" s="68"/>
      <c r="D153" s="68"/>
      <c r="E153" s="68"/>
      <c r="F153" s="68"/>
      <c r="G153" s="68"/>
      <c r="H153" s="68"/>
      <c r="I153" s="68"/>
      <c r="J153" s="68"/>
      <c r="K153" s="68"/>
      <c r="L153" s="68"/>
      <c r="M153" s="68"/>
      <c r="N153" s="68"/>
      <c r="O153" s="68"/>
      <c r="P153" s="68"/>
      <c r="Q153" s="68"/>
      <c r="R153" s="68"/>
    </row>
    <row r="154" spans="2:18" s="55" customFormat="1" ht="15">
      <c r="B154" s="68"/>
      <c r="C154" s="68"/>
      <c r="D154" s="68"/>
      <c r="E154" s="68"/>
      <c r="F154" s="68"/>
      <c r="G154" s="68"/>
      <c r="H154" s="68"/>
      <c r="I154" s="68"/>
      <c r="J154" s="68"/>
      <c r="K154" s="68"/>
      <c r="L154" s="68"/>
      <c r="M154" s="68"/>
      <c r="N154" s="68"/>
      <c r="O154" s="68"/>
      <c r="P154" s="68"/>
      <c r="Q154" s="68"/>
      <c r="R154" s="68"/>
    </row>
    <row r="155" s="55" customFormat="1" ht="15"/>
    <row r="156" s="55" customFormat="1" ht="15"/>
    <row r="157" s="55" customFormat="1" ht="15"/>
    <row r="158" s="55" customFormat="1" ht="15"/>
    <row r="159" s="55" customFormat="1" ht="15"/>
    <row r="160" s="55" customFormat="1" ht="15"/>
    <row r="161" s="55" customFormat="1" ht="15"/>
    <row r="162" s="55" customFormat="1" ht="15"/>
    <row r="163" s="55" customFormat="1" ht="15"/>
    <row r="164" s="55" customFormat="1" ht="15"/>
    <row r="165" s="55" customFormat="1" ht="15"/>
    <row r="166" s="55" customFormat="1" ht="15"/>
    <row r="167" s="55" customFormat="1" ht="15"/>
    <row r="168" s="55" customFormat="1" ht="15"/>
    <row r="169" s="55" customFormat="1" ht="15"/>
    <row r="170" s="55" customFormat="1" ht="15"/>
    <row r="171" s="55" customFormat="1" ht="15"/>
    <row r="172" s="55" customFormat="1" ht="15"/>
    <row r="173" s="55" customFormat="1" ht="15"/>
    <row r="174" s="55" customFormat="1" ht="15"/>
    <row r="175" s="55" customFormat="1" ht="15"/>
    <row r="176" s="55" customFormat="1" ht="15"/>
    <row r="177" s="55" customFormat="1" ht="15"/>
    <row r="178" s="55" customFormat="1" ht="15"/>
    <row r="179" s="55" customFormat="1" ht="15"/>
    <row r="180" s="55" customFormat="1" ht="15"/>
    <row r="181" s="55" customFormat="1" ht="15"/>
    <row r="182" s="55" customFormat="1" ht="15"/>
    <row r="183" s="55" customFormat="1" ht="15"/>
    <row r="184" s="55" customFormat="1" ht="15"/>
    <row r="185" s="55" customFormat="1" ht="15"/>
    <row r="186" s="55" customFormat="1" ht="15"/>
    <row r="187" s="55" customFormat="1" ht="15"/>
    <row r="188" s="55" customFormat="1" ht="15"/>
  </sheetData>
  <sheetProtection password="8B19" sheet="1" objects="1" selectLockedCells="1"/>
  <mergeCells count="13">
    <mergeCell ref="C13:F13"/>
    <mergeCell ref="C4:F4"/>
    <mergeCell ref="C6:F6"/>
    <mergeCell ref="C8:F8"/>
    <mergeCell ref="C10:F10"/>
    <mergeCell ref="C12:F12"/>
    <mergeCell ref="B134:F134"/>
    <mergeCell ref="D14:E14"/>
    <mergeCell ref="B28:F28"/>
    <mergeCell ref="B39:F39"/>
    <mergeCell ref="C40:D40"/>
    <mergeCell ref="B109:F109"/>
    <mergeCell ref="C55:D55"/>
  </mergeCells>
  <dataValidations count="11">
    <dataValidation type="decimal" showInputMessage="1" showErrorMessage="1" errorTitle="Error" error="Type in a value between 2.00 and 20.00" sqref="C14">
      <formula1>2</formula1>
      <formula2>20</formula2>
    </dataValidation>
    <dataValidation type="decimal" allowBlank="1" showInputMessage="1" showErrorMessage="1" errorTitle="Error" error="Type in a value between 2.00 and 20.00" sqref="C15">
      <formula1>2</formula1>
      <formula2>20</formula2>
    </dataValidation>
    <dataValidation type="textLength" allowBlank="1" showInputMessage="1" showErrorMessage="1" sqref="C4:C11">
      <formula1>0</formula1>
      <formula2>100</formula2>
    </dataValidation>
    <dataValidation type="whole" allowBlank="1" showInputMessage="1" showErrorMessage="1" errorTitle="Error" error="Type in a number between 100 and 1,000" sqref="C30:D30">
      <formula1>100</formula1>
      <formula2>1000</formula2>
    </dataValidation>
    <dataValidation type="whole" allowBlank="1" showInputMessage="1" showErrorMessage="1" sqref="C21:D21">
      <formula1>1000</formula1>
      <formula2>10000000</formula2>
    </dataValidation>
    <dataValidation type="whole" allowBlank="1" showInputMessage="1" showErrorMessage="1" errorTitle="Error" error="Type in a number between 0 and 5,000" sqref="C111:D114">
      <formula1>0</formula1>
      <formula2>5000</formula2>
    </dataValidation>
    <dataValidation type="whole" allowBlank="1" showInputMessage="1" showErrorMessage="1" errorTitle="Error" error="Type in a number between 0 and 10,000" sqref="C57:D57 C59:D59 C61:D61 C77:D77 C63:D63 C67:D67 C65:D65 C69:D69 C75:D75 C71:D71 C73:D73 C79:D79 C102:D102 C81:D81 C83:D84 C86:D86">
      <formula1>0</formula1>
      <formula2>10000</formula2>
    </dataValidation>
    <dataValidation type="whole" allowBlank="1" showInputMessage="1" showErrorMessage="1" errorTitle="Error" error="Type in a number between 10 and 10,000" sqref="C19:D20 C24:D24">
      <formula1>10</formula1>
      <formula2>10000</formula2>
    </dataValidation>
    <dataValidation type="decimal" allowBlank="1" showInputMessage="1" showErrorMessage="1" errorTitle="Error" error="Type in a number between 0 and 10,000" sqref="C85:D85">
      <formula1>0</formula1>
      <formula2>2</formula2>
    </dataValidation>
    <dataValidation type="decimal" allowBlank="1" showInputMessage="1" showErrorMessage="1" sqref="D104">
      <formula1>0</formula1>
      <formula2>200</formula2>
    </dataValidation>
    <dataValidation type="decimal" allowBlank="1" showInputMessage="1" showErrorMessage="1" prompt="Input a number between 1% and 100%" sqref="C104">
      <formula1>0.01</formula1>
      <formula2>1</formula2>
    </dataValidation>
  </dataValidations>
  <printOptions/>
  <pageMargins left="0.31496062992125984" right="0.31496062992125984" top="0.5511811023622047" bottom="0.5511811023622047" header="0.15748031496062992" footer="0.15748031496062992"/>
  <pageSetup fitToHeight="3" fitToWidth="1" horizontalDpi="600" verticalDpi="600" orientation="portrait" paperSize="9" scale="68" r:id="rId3"/>
  <headerFooter>
    <oddFooter>&amp;L&amp;8Version 2.5/Aug 2011&amp;C&amp;8&amp;A
&amp;F&amp;R&amp;8Printed: &amp;D</oddFooter>
  </headerFooter>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2:AI193"/>
  <sheetViews>
    <sheetView showGridLines="0" showRowColHeaders="0" zoomScalePageLayoutView="0" workbookViewId="0" topLeftCell="A1">
      <pane ySplit="3" topLeftCell="A4" activePane="bottomLeft" state="frozen"/>
      <selection pane="topLeft" activeCell="B3" sqref="B3"/>
      <selection pane="bottomLeft" activeCell="C34" sqref="C34"/>
    </sheetView>
  </sheetViews>
  <sheetFormatPr defaultColWidth="8.8515625" defaultRowHeight="15"/>
  <cols>
    <col min="1" max="1" width="6.421875" style="55" customWidth="1"/>
    <col min="2" max="2" width="64.28125" style="0" customWidth="1"/>
    <col min="3" max="6" width="15.8515625" style="0" customWidth="1"/>
    <col min="7" max="8" width="8.8515625" style="55" customWidth="1"/>
    <col min="9" max="9" width="12.421875" style="55" bestFit="1" customWidth="1"/>
    <col min="10" max="27" width="8.8515625" style="55" customWidth="1"/>
  </cols>
  <sheetData>
    <row r="1" s="55" customFormat="1" ht="15"/>
    <row r="2" spans="2:12" s="55" customFormat="1" ht="79.5" customHeight="1">
      <c r="B2" s="58" t="s">
        <v>255</v>
      </c>
      <c r="D2" s="56"/>
      <c r="E2" s="56"/>
      <c r="F2" s="56"/>
      <c r="G2" s="56"/>
      <c r="H2" s="56"/>
      <c r="I2" s="56"/>
      <c r="J2" s="56"/>
      <c r="K2" s="56"/>
      <c r="L2" s="56"/>
    </row>
    <row r="3" s="55" customFormat="1" ht="15"/>
    <row r="4" spans="2:18" s="55" customFormat="1" ht="22.5" customHeight="1">
      <c r="B4" s="69" t="s">
        <v>155</v>
      </c>
      <c r="C4" s="294" t="str">
        <f>IF(Advisor_name="","",Advisor_name)</f>
        <v>My advisor</v>
      </c>
      <c r="D4" s="295"/>
      <c r="E4" s="295"/>
      <c r="F4" s="296"/>
      <c r="G4" s="68"/>
      <c r="H4" s="68"/>
      <c r="I4" s="68"/>
      <c r="J4" s="68"/>
      <c r="K4" s="68"/>
      <c r="L4" s="68"/>
      <c r="M4" s="68"/>
      <c r="N4" s="68"/>
      <c r="O4" s="68"/>
      <c r="P4" s="68"/>
      <c r="Q4" s="68"/>
      <c r="R4" s="68"/>
    </row>
    <row r="5" spans="2:18" s="64" customFormat="1" ht="9" customHeight="1">
      <c r="B5" s="70"/>
      <c r="C5" s="71"/>
      <c r="D5" s="71"/>
      <c r="E5" s="71"/>
      <c r="F5" s="71"/>
      <c r="G5" s="72"/>
      <c r="H5" s="72"/>
      <c r="I5" s="72"/>
      <c r="J5" s="72"/>
      <c r="K5" s="72"/>
      <c r="L5" s="72"/>
      <c r="M5" s="72"/>
      <c r="N5" s="72"/>
      <c r="O5" s="72"/>
      <c r="P5" s="72"/>
      <c r="Q5" s="72"/>
      <c r="R5" s="72"/>
    </row>
    <row r="6" spans="2:18" s="55" customFormat="1" ht="22.5" customHeight="1">
      <c r="B6" s="69" t="s">
        <v>52</v>
      </c>
      <c r="C6" s="294" t="str">
        <f>IF(Advisor_s_business_name="","",Advisor_s_business_name)</f>
        <v>My advisor's business</v>
      </c>
      <c r="D6" s="295"/>
      <c r="E6" s="295"/>
      <c r="F6" s="296"/>
      <c r="G6" s="68"/>
      <c r="H6" s="68"/>
      <c r="I6" s="68"/>
      <c r="J6" s="68"/>
      <c r="K6" s="68"/>
      <c r="L6" s="68"/>
      <c r="M6" s="68"/>
      <c r="N6" s="68"/>
      <c r="O6" s="68"/>
      <c r="P6" s="68"/>
      <c r="Q6" s="68"/>
      <c r="R6" s="68"/>
    </row>
    <row r="7" spans="1:18" s="64" customFormat="1" ht="9" customHeight="1">
      <c r="A7" s="154"/>
      <c r="B7" s="70"/>
      <c r="C7" s="71"/>
      <c r="D7" s="71"/>
      <c r="E7" s="71"/>
      <c r="F7" s="71"/>
      <c r="G7" s="72"/>
      <c r="H7" s="72"/>
      <c r="I7" s="72"/>
      <c r="J7" s="72"/>
      <c r="K7" s="72"/>
      <c r="L7" s="72"/>
      <c r="M7" s="72"/>
      <c r="N7" s="72"/>
      <c r="O7" s="72"/>
      <c r="P7" s="72"/>
      <c r="Q7" s="72"/>
      <c r="R7" s="72"/>
    </row>
    <row r="8" spans="1:18" s="55" customFormat="1" ht="22.5" customHeight="1">
      <c r="A8" s="66"/>
      <c r="B8" s="69" t="s">
        <v>153</v>
      </c>
      <c r="C8" s="294" t="str">
        <f>IF(Herd_owner="","",Herd_owner)</f>
        <v>My herd owner</v>
      </c>
      <c r="D8" s="295"/>
      <c r="E8" s="295"/>
      <c r="F8" s="296"/>
      <c r="G8" s="68"/>
      <c r="H8" s="68"/>
      <c r="I8" s="68"/>
      <c r="J8" s="68"/>
      <c r="K8" s="68"/>
      <c r="L8" s="68"/>
      <c r="M8" s="68"/>
      <c r="N8" s="68"/>
      <c r="O8" s="68"/>
      <c r="P8" s="68"/>
      <c r="Q8" s="68"/>
      <c r="R8" s="68"/>
    </row>
    <row r="9" spans="1:18" s="64" customFormat="1" ht="9" customHeight="1">
      <c r="A9" s="154"/>
      <c r="B9" s="70"/>
      <c r="C9" s="73"/>
      <c r="D9" s="73"/>
      <c r="E9" s="73"/>
      <c r="F9" s="73"/>
      <c r="G9" s="72"/>
      <c r="H9" s="72"/>
      <c r="I9" s="72"/>
      <c r="J9" s="72"/>
      <c r="K9" s="72"/>
      <c r="L9" s="72"/>
      <c r="M9" s="72"/>
      <c r="N9" s="72"/>
      <c r="O9" s="72"/>
      <c r="P9" s="72"/>
      <c r="Q9" s="72"/>
      <c r="R9" s="72"/>
    </row>
    <row r="10" spans="1:18" s="55" customFormat="1" ht="22.5" customHeight="1">
      <c r="A10" s="66"/>
      <c r="B10" s="69" t="s">
        <v>154</v>
      </c>
      <c r="C10" s="294" t="str">
        <f>IF(Herd_name="","",Herd_name)</f>
        <v>My herd</v>
      </c>
      <c r="D10" s="295"/>
      <c r="E10" s="295"/>
      <c r="F10" s="296"/>
      <c r="G10" s="68"/>
      <c r="H10" s="68"/>
      <c r="I10" s="68"/>
      <c r="J10" s="68"/>
      <c r="K10" s="68"/>
      <c r="L10" s="68"/>
      <c r="M10" s="68"/>
      <c r="N10" s="68"/>
      <c r="O10" s="68"/>
      <c r="P10" s="68"/>
      <c r="Q10" s="68"/>
      <c r="R10" s="68"/>
    </row>
    <row r="11" spans="1:18" s="64" customFormat="1" ht="9" customHeight="1">
      <c r="A11" s="154"/>
      <c r="B11" s="70"/>
      <c r="C11" s="73"/>
      <c r="D11" s="73"/>
      <c r="E11" s="73"/>
      <c r="F11" s="73"/>
      <c r="G11" s="72"/>
      <c r="H11" s="72"/>
      <c r="I11" s="72"/>
      <c r="J11" s="72"/>
      <c r="K11" s="72"/>
      <c r="L11" s="72"/>
      <c r="M11" s="72"/>
      <c r="N11" s="72"/>
      <c r="O11" s="72"/>
      <c r="P11" s="72"/>
      <c r="Q11" s="72"/>
      <c r="R11" s="72"/>
    </row>
    <row r="12" spans="1:18" s="55" customFormat="1" ht="22.5" customHeight="1">
      <c r="A12" s="66"/>
      <c r="B12" s="69" t="s">
        <v>282</v>
      </c>
      <c r="C12" s="297">
        <f ca="1">TODAY()</f>
        <v>40794</v>
      </c>
      <c r="D12" s="298"/>
      <c r="E12" s="298"/>
      <c r="F12" s="299"/>
      <c r="G12" s="68"/>
      <c r="H12" s="68"/>
      <c r="I12" s="68"/>
      <c r="J12" s="68"/>
      <c r="K12" s="68"/>
      <c r="L12" s="68"/>
      <c r="M12" s="68"/>
      <c r="N12" s="68"/>
      <c r="O12" s="68"/>
      <c r="P12" s="68"/>
      <c r="Q12" s="68"/>
      <c r="R12" s="68"/>
    </row>
    <row r="13" spans="1:18" s="55" customFormat="1" ht="9" customHeight="1">
      <c r="A13" s="66"/>
      <c r="B13" s="67"/>
      <c r="C13" s="286"/>
      <c r="D13" s="286"/>
      <c r="E13" s="286"/>
      <c r="F13" s="286"/>
      <c r="G13" s="68"/>
      <c r="H13" s="68"/>
      <c r="I13" s="68"/>
      <c r="J13" s="68"/>
      <c r="K13" s="68"/>
      <c r="L13" s="68"/>
      <c r="M13" s="68"/>
      <c r="N13" s="68"/>
      <c r="O13" s="68"/>
      <c r="P13" s="68"/>
      <c r="Q13" s="68"/>
      <c r="R13" s="68"/>
    </row>
    <row r="14" spans="1:18" s="55" customFormat="1" ht="22.5" customHeight="1">
      <c r="A14" s="66"/>
      <c r="B14" s="69" t="s">
        <v>296</v>
      </c>
      <c r="C14" s="219">
        <f>Payout</f>
        <v>6.5</v>
      </c>
      <c r="D14" s="290" t="s">
        <v>211</v>
      </c>
      <c r="E14" s="291"/>
      <c r="F14" s="171"/>
      <c r="G14" s="68"/>
      <c r="H14" s="68"/>
      <c r="I14" s="68"/>
      <c r="J14" s="68"/>
      <c r="K14" s="68"/>
      <c r="L14" s="68"/>
      <c r="M14" s="68"/>
      <c r="N14" s="68"/>
      <c r="O14" s="68"/>
      <c r="P14" s="68"/>
      <c r="Q14" s="68"/>
      <c r="R14" s="68"/>
    </row>
    <row r="15" spans="1:18" s="55" customFormat="1" ht="9" customHeight="1">
      <c r="A15" s="66"/>
      <c r="B15" s="74"/>
      <c r="C15" s="75"/>
      <c r="D15" s="75"/>
      <c r="E15" s="75"/>
      <c r="F15" s="54"/>
      <c r="G15" s="76"/>
      <c r="H15" s="68"/>
      <c r="I15" s="68"/>
      <c r="J15" s="68"/>
      <c r="K15" s="68"/>
      <c r="L15" s="68"/>
      <c r="M15" s="68"/>
      <c r="N15" s="68"/>
      <c r="O15" s="68"/>
      <c r="P15" s="68"/>
      <c r="Q15" s="68"/>
      <c r="R15" s="68"/>
    </row>
    <row r="16" spans="1:35" ht="69" customHeight="1">
      <c r="A16" s="66"/>
      <c r="B16" s="97"/>
      <c r="C16" s="102" t="s">
        <v>283</v>
      </c>
      <c r="D16" s="102" t="s">
        <v>196</v>
      </c>
      <c r="E16" s="102" t="s">
        <v>284</v>
      </c>
      <c r="F16" s="112" t="s">
        <v>285</v>
      </c>
      <c r="G16" s="68"/>
      <c r="H16" s="68"/>
      <c r="I16" s="68"/>
      <c r="J16" s="68"/>
      <c r="K16" s="68"/>
      <c r="L16" s="68"/>
      <c r="M16" s="68"/>
      <c r="N16" s="68"/>
      <c r="O16" s="68"/>
      <c r="P16" s="68"/>
      <c r="Q16" s="68"/>
      <c r="R16" s="68"/>
      <c r="AB16" s="53"/>
      <c r="AC16" s="53"/>
      <c r="AD16" s="53"/>
      <c r="AE16" s="53"/>
      <c r="AF16" s="53"/>
      <c r="AG16" s="53"/>
      <c r="AH16" s="53"/>
      <c r="AI16" s="53"/>
    </row>
    <row r="17" spans="1:35" ht="15" customHeight="1" hidden="1">
      <c r="A17" s="66"/>
      <c r="B17" s="98" t="s">
        <v>3</v>
      </c>
      <c r="C17" s="99">
        <v>2009</v>
      </c>
      <c r="D17" s="99">
        <v>2011</v>
      </c>
      <c r="E17" s="100"/>
      <c r="F17" s="101"/>
      <c r="G17" s="68"/>
      <c r="H17" s="68"/>
      <c r="I17" s="68"/>
      <c r="J17" s="68"/>
      <c r="K17" s="68"/>
      <c r="L17" s="68"/>
      <c r="M17" s="68"/>
      <c r="N17" s="68"/>
      <c r="O17" s="68"/>
      <c r="P17" s="68"/>
      <c r="Q17" s="68"/>
      <c r="R17" s="68"/>
      <c r="AB17" s="53"/>
      <c r="AC17" s="53"/>
      <c r="AD17" s="53"/>
      <c r="AE17" s="53"/>
      <c r="AF17" s="53"/>
      <c r="AG17" s="53"/>
      <c r="AH17" s="53"/>
      <c r="AI17" s="53"/>
    </row>
    <row r="18" spans="1:18" s="64" customFormat="1" ht="9" customHeight="1">
      <c r="A18" s="154"/>
      <c r="B18" s="155"/>
      <c r="C18" s="156"/>
      <c r="D18" s="156"/>
      <c r="E18" s="157"/>
      <c r="F18" s="157"/>
      <c r="G18" s="72"/>
      <c r="H18" s="72"/>
      <c r="I18" s="72"/>
      <c r="J18" s="72"/>
      <c r="K18" s="72"/>
      <c r="L18" s="72"/>
      <c r="M18" s="72"/>
      <c r="N18" s="72"/>
      <c r="O18" s="72"/>
      <c r="P18" s="72"/>
      <c r="Q18" s="72"/>
      <c r="R18" s="72"/>
    </row>
    <row r="19" spans="1:18" s="55" customFormat="1" ht="22.5" customHeight="1">
      <c r="A19" s="66"/>
      <c r="B19" s="113" t="s">
        <v>2</v>
      </c>
      <c r="C19" s="125">
        <f>CalvedNoTotalCurrent</f>
        <v>500</v>
      </c>
      <c r="D19" s="125">
        <f>CalvedNoTotalTarget</f>
        <v>500</v>
      </c>
      <c r="E19" s="124"/>
      <c r="F19" s="124"/>
      <c r="G19" s="76"/>
      <c r="H19" s="68"/>
      <c r="I19" s="68"/>
      <c r="J19" s="68"/>
      <c r="K19" s="68"/>
      <c r="L19" s="68"/>
      <c r="M19" s="68"/>
      <c r="N19" s="68"/>
      <c r="O19" s="68"/>
      <c r="P19" s="68"/>
      <c r="Q19" s="68"/>
      <c r="R19" s="68"/>
    </row>
    <row r="20" spans="1:18" s="64" customFormat="1" ht="9" customHeight="1">
      <c r="A20" s="154"/>
      <c r="B20" s="158"/>
      <c r="C20" s="159"/>
      <c r="D20" s="159"/>
      <c r="E20" s="160"/>
      <c r="F20" s="160"/>
      <c r="G20" s="161"/>
      <c r="H20" s="72"/>
      <c r="I20" s="72"/>
      <c r="J20" s="72"/>
      <c r="K20" s="72"/>
      <c r="L20" s="72"/>
      <c r="M20" s="72"/>
      <c r="N20" s="72"/>
      <c r="O20" s="72"/>
      <c r="P20" s="72"/>
      <c r="Q20" s="72"/>
      <c r="R20" s="72"/>
    </row>
    <row r="21" spans="1:35" ht="22.5" customHeight="1">
      <c r="A21" s="103"/>
      <c r="B21" s="111" t="s">
        <v>186</v>
      </c>
      <c r="C21" s="224">
        <f>ProdCurrent</f>
        <v>175000</v>
      </c>
      <c r="D21" s="224">
        <f>ProdTarget</f>
        <v>175000</v>
      </c>
      <c r="E21" s="124"/>
      <c r="F21" s="124"/>
      <c r="G21" s="68"/>
      <c r="H21" s="68"/>
      <c r="I21" s="68"/>
      <c r="J21" s="68"/>
      <c r="K21" s="68"/>
      <c r="L21" s="68"/>
      <c r="M21" s="68"/>
      <c r="N21" s="68"/>
      <c r="O21" s="68"/>
      <c r="P21" s="68"/>
      <c r="Q21" s="68"/>
      <c r="R21" s="68"/>
      <c r="AB21" s="53"/>
      <c r="AC21" s="53"/>
      <c r="AD21" s="53"/>
      <c r="AE21" s="53"/>
      <c r="AF21" s="53"/>
      <c r="AG21" s="53"/>
      <c r="AH21" s="53"/>
      <c r="AI21" s="53"/>
    </row>
    <row r="22" spans="1:18" s="55" customFormat="1" ht="22.5" customHeight="1" hidden="1">
      <c r="A22" s="66"/>
      <c r="B22" s="107" t="s">
        <v>157</v>
      </c>
      <c r="C22" s="78">
        <f>C19*0.2</f>
        <v>100</v>
      </c>
      <c r="D22" s="78">
        <f>D19*0.2</f>
        <v>100</v>
      </c>
      <c r="E22" s="77"/>
      <c r="F22" s="77"/>
      <c r="G22" s="76"/>
      <c r="H22" s="68"/>
      <c r="I22" s="68"/>
      <c r="J22" s="68"/>
      <c r="K22" s="68"/>
      <c r="L22" s="68"/>
      <c r="M22" s="68"/>
      <c r="N22" s="68"/>
      <c r="O22" s="68"/>
      <c r="P22" s="68"/>
      <c r="Q22" s="68"/>
      <c r="R22" s="68"/>
    </row>
    <row r="23" spans="1:18" s="55" customFormat="1" ht="9" customHeight="1">
      <c r="A23" s="66"/>
      <c r="B23" s="212"/>
      <c r="C23" s="217"/>
      <c r="D23" s="217"/>
      <c r="E23" s="56"/>
      <c r="F23" s="56"/>
      <c r="G23" s="76"/>
      <c r="H23" s="68"/>
      <c r="I23" s="68"/>
      <c r="J23" s="68"/>
      <c r="K23" s="68"/>
      <c r="L23" s="68"/>
      <c r="M23" s="68"/>
      <c r="N23" s="68"/>
      <c r="O23" s="68"/>
      <c r="P23" s="68"/>
      <c r="Q23" s="68"/>
      <c r="R23" s="68"/>
    </row>
    <row r="24" spans="1:18" s="55" customFormat="1" ht="22.5" customHeight="1">
      <c r="A24" s="66"/>
      <c r="B24" s="111" t="s">
        <v>264</v>
      </c>
      <c r="C24" s="125">
        <f>DryNumTotalCurrentInt</f>
        <v>400</v>
      </c>
      <c r="D24" s="125">
        <f>DryNumTotalTargetInt</f>
        <v>400</v>
      </c>
      <c r="E24" s="124"/>
      <c r="F24" s="124"/>
      <c r="G24" s="76"/>
      <c r="H24" s="68"/>
      <c r="I24" s="68"/>
      <c r="J24" s="68"/>
      <c r="K24" s="68"/>
      <c r="L24" s="68"/>
      <c r="M24" s="68"/>
      <c r="N24" s="68"/>
      <c r="O24" s="68"/>
      <c r="P24" s="68"/>
      <c r="Q24" s="68"/>
      <c r="R24" s="68"/>
    </row>
    <row r="25" spans="1:18" s="55" customFormat="1" ht="9" customHeight="1">
      <c r="A25" s="66"/>
      <c r="B25" s="106"/>
      <c r="C25" s="56"/>
      <c r="D25" s="56"/>
      <c r="E25" s="56"/>
      <c r="F25" s="56"/>
      <c r="G25" s="76"/>
      <c r="H25" s="68"/>
      <c r="I25" s="68"/>
      <c r="J25" s="68"/>
      <c r="K25" s="68"/>
      <c r="L25" s="68"/>
      <c r="M25" s="68"/>
      <c r="N25" s="68"/>
      <c r="O25" s="68"/>
      <c r="P25" s="68"/>
      <c r="Q25" s="68"/>
      <c r="R25" s="68"/>
    </row>
    <row r="26" spans="1:35" ht="32.25" customHeight="1">
      <c r="A26" s="66"/>
      <c r="B26" s="190" t="s">
        <v>145</v>
      </c>
      <c r="C26" s="191"/>
      <c r="D26" s="191"/>
      <c r="E26" s="191"/>
      <c r="F26" s="191"/>
      <c r="G26" s="76"/>
      <c r="H26" s="68"/>
      <c r="I26" s="68"/>
      <c r="J26" s="68"/>
      <c r="K26" s="68"/>
      <c r="L26" s="68"/>
      <c r="M26" s="68"/>
      <c r="N26" s="68"/>
      <c r="O26" s="68"/>
      <c r="P26" s="68"/>
      <c r="Q26" s="68"/>
      <c r="R26" s="68"/>
      <c r="AB26" s="53"/>
      <c r="AC26" s="53"/>
      <c r="AD26" s="53"/>
      <c r="AE26" s="53"/>
      <c r="AF26" s="53"/>
      <c r="AG26" s="53"/>
      <c r="AH26" s="53"/>
      <c r="AI26" s="53"/>
    </row>
    <row r="27" spans="1:18" s="55" customFormat="1" ht="9" customHeight="1">
      <c r="A27" s="66"/>
      <c r="B27" s="114"/>
      <c r="C27" s="115"/>
      <c r="D27" s="115"/>
      <c r="E27" s="115"/>
      <c r="F27" s="115"/>
      <c r="G27" s="76"/>
      <c r="H27" s="68"/>
      <c r="I27" s="68"/>
      <c r="J27" s="68"/>
      <c r="K27" s="68"/>
      <c r="L27" s="68"/>
      <c r="M27" s="68"/>
      <c r="N27" s="68"/>
      <c r="O27" s="68"/>
      <c r="P27" s="68"/>
      <c r="Q27" s="68"/>
      <c r="R27" s="68"/>
    </row>
    <row r="28" spans="1:18" s="55" customFormat="1" ht="30" customHeight="1">
      <c r="A28" s="66"/>
      <c r="B28" s="273" t="s">
        <v>131</v>
      </c>
      <c r="C28" s="273"/>
      <c r="D28" s="273"/>
      <c r="E28" s="273"/>
      <c r="F28" s="274"/>
      <c r="G28" s="76"/>
      <c r="H28" s="68"/>
      <c r="I28" s="68"/>
      <c r="J28" s="68"/>
      <c r="K28" s="68"/>
      <c r="L28" s="68"/>
      <c r="M28" s="68"/>
      <c r="N28" s="68"/>
      <c r="O28" s="68"/>
      <c r="P28" s="68"/>
      <c r="Q28" s="68"/>
      <c r="R28" s="68"/>
    </row>
    <row r="29" spans="1:18" s="55" customFormat="1" ht="9" customHeight="1">
      <c r="A29" s="66"/>
      <c r="B29" s="182"/>
      <c r="C29" s="286"/>
      <c r="D29" s="286"/>
      <c r="E29" s="286"/>
      <c r="F29" s="286"/>
      <c r="G29" s="68"/>
      <c r="H29" s="68"/>
      <c r="I29" s="68"/>
      <c r="J29" s="68"/>
      <c r="K29" s="68"/>
      <c r="L29" s="68"/>
      <c r="M29" s="68"/>
      <c r="N29" s="68"/>
      <c r="O29" s="68"/>
      <c r="P29" s="68"/>
      <c r="Q29" s="68"/>
      <c r="R29" s="68"/>
    </row>
    <row r="30" spans="1:35" ht="22.5" customHeight="1">
      <c r="A30" s="103"/>
      <c r="B30" s="181" t="s">
        <v>146</v>
      </c>
      <c r="C30" s="220">
        <f>BMSCCAveCurrent</f>
        <v>300</v>
      </c>
      <c r="D30" s="220">
        <f>BMSCCAveTarget</f>
        <v>150</v>
      </c>
      <c r="E30" s="125">
        <v>125</v>
      </c>
      <c r="F30" s="126"/>
      <c r="G30" s="68"/>
      <c r="H30" s="68"/>
      <c r="I30" s="68"/>
      <c r="J30" s="68"/>
      <c r="K30" s="68"/>
      <c r="L30" s="68"/>
      <c r="M30" s="68"/>
      <c r="N30" s="68"/>
      <c r="O30" s="68"/>
      <c r="P30" s="68"/>
      <c r="Q30" s="68"/>
      <c r="R30" s="68"/>
      <c r="AB30" s="53"/>
      <c r="AC30" s="53"/>
      <c r="AD30" s="53"/>
      <c r="AE30" s="53"/>
      <c r="AF30" s="53"/>
      <c r="AG30" s="53"/>
      <c r="AH30" s="53"/>
      <c r="AI30" s="53"/>
    </row>
    <row r="31" spans="1:18" s="55" customFormat="1" ht="9" customHeight="1">
      <c r="A31" s="66"/>
      <c r="B31" s="182"/>
      <c r="C31" s="286"/>
      <c r="D31" s="286"/>
      <c r="E31" s="286"/>
      <c r="F31" s="286"/>
      <c r="G31" s="68"/>
      <c r="H31" s="68"/>
      <c r="I31" s="68"/>
      <c r="J31" s="68"/>
      <c r="K31" s="68"/>
      <c r="L31" s="68"/>
      <c r="M31" s="68"/>
      <c r="N31" s="68"/>
      <c r="O31" s="68"/>
      <c r="P31" s="68"/>
      <c r="Q31" s="68"/>
      <c r="R31" s="68"/>
    </row>
    <row r="32" spans="1:35" ht="22.5" customHeight="1">
      <c r="A32" s="103"/>
      <c r="B32" s="181" t="s">
        <v>241</v>
      </c>
      <c r="C32" s="221">
        <f>BMSCCCosts!B4</f>
        <v>37862.5</v>
      </c>
      <c r="D32" s="221">
        <f>BMSCCCosts!C4</f>
        <v>13975</v>
      </c>
      <c r="E32" s="179"/>
      <c r="F32" s="180">
        <f>C32-D32</f>
        <v>23887.5</v>
      </c>
      <c r="G32" s="68"/>
      <c r="H32" s="68"/>
      <c r="I32" s="68"/>
      <c r="J32" s="68"/>
      <c r="K32" s="68"/>
      <c r="L32" s="68"/>
      <c r="M32" s="68"/>
      <c r="N32" s="68"/>
      <c r="O32" s="68"/>
      <c r="P32" s="68"/>
      <c r="Q32" s="68"/>
      <c r="R32" s="68"/>
      <c r="AB32" s="53"/>
      <c r="AC32" s="53"/>
      <c r="AD32" s="53"/>
      <c r="AE32" s="53"/>
      <c r="AF32" s="53"/>
      <c r="AG32" s="53"/>
      <c r="AH32" s="53"/>
      <c r="AI32" s="53"/>
    </row>
    <row r="33" spans="1:18" s="55" customFormat="1" ht="9" customHeight="1">
      <c r="A33" s="66"/>
      <c r="B33" s="182"/>
      <c r="C33" s="286"/>
      <c r="D33" s="286"/>
      <c r="E33" s="286"/>
      <c r="F33" s="286"/>
      <c r="G33" s="68"/>
      <c r="H33" s="68"/>
      <c r="I33" s="68"/>
      <c r="J33" s="68"/>
      <c r="K33" s="68"/>
      <c r="L33" s="68"/>
      <c r="M33" s="68"/>
      <c r="N33" s="68"/>
      <c r="O33" s="68"/>
      <c r="P33" s="68"/>
      <c r="Q33" s="68"/>
      <c r="R33" s="68"/>
    </row>
    <row r="34" spans="1:35" ht="30" customHeight="1">
      <c r="A34" s="103"/>
      <c r="B34" s="181" t="s">
        <v>297</v>
      </c>
      <c r="C34" s="121">
        <v>20</v>
      </c>
      <c r="D34" s="121">
        <v>10</v>
      </c>
      <c r="E34" s="125"/>
      <c r="F34" s="126"/>
      <c r="G34" s="68"/>
      <c r="H34" s="68"/>
      <c r="I34" s="68"/>
      <c r="J34" s="68"/>
      <c r="K34" s="68"/>
      <c r="L34" s="68"/>
      <c r="M34" s="68"/>
      <c r="N34" s="68"/>
      <c r="O34" s="68"/>
      <c r="P34" s="68"/>
      <c r="Q34" s="68"/>
      <c r="R34" s="68"/>
      <c r="AB34" s="53"/>
      <c r="AC34" s="53"/>
      <c r="AD34" s="53"/>
      <c r="AE34" s="53"/>
      <c r="AF34" s="53"/>
      <c r="AG34" s="53"/>
      <c r="AH34" s="53"/>
      <c r="AI34" s="53"/>
    </row>
    <row r="35" spans="1:18" s="55" customFormat="1" ht="9" customHeight="1">
      <c r="A35" s="66"/>
      <c r="B35" s="182"/>
      <c r="C35" s="286"/>
      <c r="D35" s="286"/>
      <c r="E35" s="286"/>
      <c r="F35" s="286"/>
      <c r="G35" s="68"/>
      <c r="H35" s="68"/>
      <c r="I35" s="68"/>
      <c r="J35" s="68"/>
      <c r="K35" s="68"/>
      <c r="L35" s="68"/>
      <c r="M35" s="68"/>
      <c r="N35" s="68"/>
      <c r="O35" s="68"/>
      <c r="P35" s="68"/>
      <c r="Q35" s="68"/>
      <c r="R35" s="68"/>
    </row>
    <row r="36" spans="1:35" ht="30" customHeight="1">
      <c r="A36" s="103"/>
      <c r="B36" s="181" t="s">
        <v>298</v>
      </c>
      <c r="C36" s="121">
        <v>1</v>
      </c>
      <c r="D36" s="121">
        <v>1</v>
      </c>
      <c r="E36" s="125"/>
      <c r="F36" s="126"/>
      <c r="G36" s="68"/>
      <c r="H36" s="68"/>
      <c r="I36" s="68"/>
      <c r="J36" s="68"/>
      <c r="K36" s="68"/>
      <c r="L36" s="68"/>
      <c r="M36" s="68"/>
      <c r="N36" s="68"/>
      <c r="O36" s="68"/>
      <c r="P36" s="68"/>
      <c r="Q36" s="68"/>
      <c r="R36" s="68"/>
      <c r="AB36" s="53"/>
      <c r="AC36" s="53"/>
      <c r="AD36" s="53"/>
      <c r="AE36" s="53"/>
      <c r="AF36" s="53"/>
      <c r="AG36" s="53"/>
      <c r="AH36" s="53"/>
      <c r="AI36" s="53"/>
    </row>
    <row r="37" spans="1:18" s="55" customFormat="1" ht="9" customHeight="1">
      <c r="A37" s="66"/>
      <c r="B37" s="182"/>
      <c r="C37" s="286"/>
      <c r="D37" s="286"/>
      <c r="E37" s="286"/>
      <c r="F37" s="286"/>
      <c r="G37" s="68"/>
      <c r="H37" s="68"/>
      <c r="I37" s="68"/>
      <c r="J37" s="68"/>
      <c r="K37" s="68"/>
      <c r="L37" s="68"/>
      <c r="M37" s="68"/>
      <c r="N37" s="68"/>
      <c r="O37" s="68"/>
      <c r="P37" s="68"/>
      <c r="Q37" s="68"/>
      <c r="R37" s="68"/>
    </row>
    <row r="38" spans="1:35" ht="30" customHeight="1">
      <c r="A38" s="103"/>
      <c r="B38" s="181" t="s">
        <v>271</v>
      </c>
      <c r="C38" s="121">
        <v>30</v>
      </c>
      <c r="D38" s="121">
        <v>10</v>
      </c>
      <c r="E38" s="125"/>
      <c r="F38" s="126"/>
      <c r="G38" s="68"/>
      <c r="H38" s="68"/>
      <c r="I38" s="68"/>
      <c r="J38" s="68"/>
      <c r="K38" s="68"/>
      <c r="L38" s="68"/>
      <c r="M38" s="68"/>
      <c r="N38" s="68"/>
      <c r="O38" s="68"/>
      <c r="P38" s="68"/>
      <c r="Q38" s="68"/>
      <c r="R38" s="68"/>
      <c r="AB38" s="53"/>
      <c r="AC38" s="53"/>
      <c r="AD38" s="53"/>
      <c r="AE38" s="53"/>
      <c r="AF38" s="53"/>
      <c r="AG38" s="53"/>
      <c r="AH38" s="53"/>
      <c r="AI38" s="53"/>
    </row>
    <row r="39" spans="1:18" s="55" customFormat="1" ht="9" customHeight="1">
      <c r="A39" s="66"/>
      <c r="B39" s="67"/>
      <c r="C39" s="286"/>
      <c r="D39" s="286"/>
      <c r="E39" s="286"/>
      <c r="F39" s="286"/>
      <c r="G39" s="68"/>
      <c r="H39" s="68"/>
      <c r="I39" s="68"/>
      <c r="J39" s="68"/>
      <c r="K39" s="68"/>
      <c r="L39" s="68"/>
      <c r="M39" s="68"/>
      <c r="N39" s="68"/>
      <c r="O39" s="68"/>
      <c r="P39" s="68"/>
      <c r="Q39" s="68"/>
      <c r="R39" s="68"/>
    </row>
    <row r="40" spans="1:35" ht="30" customHeight="1">
      <c r="A40" s="103"/>
      <c r="B40" s="181" t="s">
        <v>299</v>
      </c>
      <c r="C40" s="221">
        <f>BMSCCCosts!B25</f>
        <v>4364.62962962963</v>
      </c>
      <c r="D40" s="221">
        <f>BMSCCCosts!C25</f>
        <v>2140.185185185185</v>
      </c>
      <c r="E40" s="125"/>
      <c r="F40" s="180">
        <f>C40-D40</f>
        <v>2224.4444444444443</v>
      </c>
      <c r="G40" s="68"/>
      <c r="H40" s="68"/>
      <c r="I40" s="68"/>
      <c r="J40" s="68"/>
      <c r="K40" s="68"/>
      <c r="L40" s="68"/>
      <c r="M40" s="68"/>
      <c r="N40" s="68"/>
      <c r="O40" s="68"/>
      <c r="P40" s="68"/>
      <c r="Q40" s="68"/>
      <c r="R40" s="68"/>
      <c r="AB40" s="53"/>
      <c r="AC40" s="53"/>
      <c r="AD40" s="53"/>
      <c r="AE40" s="53"/>
      <c r="AF40" s="53"/>
      <c r="AG40" s="53"/>
      <c r="AH40" s="53"/>
      <c r="AI40" s="53"/>
    </row>
    <row r="41" spans="1:18" s="55" customFormat="1" ht="15" customHeight="1" hidden="1">
      <c r="A41" s="66"/>
      <c r="B41" s="108" t="s">
        <v>87</v>
      </c>
      <c r="C41" s="79">
        <v>-0.1</v>
      </c>
      <c r="D41" s="79" t="s">
        <v>60</v>
      </c>
      <c r="E41" s="80"/>
      <c r="F41" s="79" t="e">
        <f>C41-D41</f>
        <v>#VALUE!</v>
      </c>
      <c r="G41" s="76"/>
      <c r="H41" s="68"/>
      <c r="I41" s="68"/>
      <c r="J41" s="68"/>
      <c r="K41" s="68"/>
      <c r="L41" s="68"/>
      <c r="M41" s="68"/>
      <c r="N41" s="68"/>
      <c r="O41" s="68"/>
      <c r="P41" s="68"/>
      <c r="Q41" s="68"/>
      <c r="R41" s="68"/>
    </row>
    <row r="42" spans="1:35" ht="15" customHeight="1" hidden="1">
      <c r="A42" s="66"/>
      <c r="B42" s="109" t="s">
        <v>160</v>
      </c>
      <c r="C42" s="81">
        <v>0</v>
      </c>
      <c r="D42" s="81">
        <v>0</v>
      </c>
      <c r="E42" s="77"/>
      <c r="F42" s="82"/>
      <c r="G42" s="68"/>
      <c r="H42" s="68"/>
      <c r="I42" s="68"/>
      <c r="J42" s="68"/>
      <c r="K42" s="68"/>
      <c r="L42" s="68"/>
      <c r="M42" s="68"/>
      <c r="N42" s="68"/>
      <c r="O42" s="68"/>
      <c r="P42" s="68"/>
      <c r="Q42" s="68"/>
      <c r="R42" s="68"/>
      <c r="AB42" s="53"/>
      <c r="AC42" s="53"/>
      <c r="AD42" s="53"/>
      <c r="AE42" s="53"/>
      <c r="AF42" s="53"/>
      <c r="AG42" s="53"/>
      <c r="AH42" s="53"/>
      <c r="AI42" s="53"/>
    </row>
    <row r="43" spans="1:18" s="55" customFormat="1" ht="15" customHeight="1" hidden="1">
      <c r="A43" s="66"/>
      <c r="B43" s="109" t="s">
        <v>159</v>
      </c>
      <c r="C43" s="81">
        <v>0</v>
      </c>
      <c r="D43" s="81">
        <v>0</v>
      </c>
      <c r="E43" s="77"/>
      <c r="F43" s="82"/>
      <c r="G43" s="68"/>
      <c r="H43" s="68"/>
      <c r="I43" s="68"/>
      <c r="J43" s="68"/>
      <c r="K43" s="68"/>
      <c r="L43" s="68"/>
      <c r="M43" s="68"/>
      <c r="N43" s="68"/>
      <c r="O43" s="68"/>
      <c r="P43" s="68"/>
      <c r="Q43" s="68"/>
      <c r="R43" s="68"/>
    </row>
    <row r="44" spans="1:35" ht="29.25" customHeight="1" hidden="1">
      <c r="A44" s="66"/>
      <c r="B44" s="109" t="s">
        <v>173</v>
      </c>
      <c r="C44" s="81">
        <v>0</v>
      </c>
      <c r="D44" s="81">
        <v>0</v>
      </c>
      <c r="E44" s="77"/>
      <c r="F44" s="82"/>
      <c r="G44" s="68"/>
      <c r="H44" s="68"/>
      <c r="I44" s="68"/>
      <c r="J44" s="68"/>
      <c r="K44" s="68"/>
      <c r="L44" s="68"/>
      <c r="M44" s="68"/>
      <c r="N44" s="68"/>
      <c r="O44" s="68"/>
      <c r="P44" s="68"/>
      <c r="Q44" s="68"/>
      <c r="R44" s="68"/>
      <c r="AB44" s="53"/>
      <c r="AC44" s="53"/>
      <c r="AD44" s="53"/>
      <c r="AE44" s="53"/>
      <c r="AF44" s="53"/>
      <c r="AG44" s="53"/>
      <c r="AH44" s="53"/>
      <c r="AI44" s="53"/>
    </row>
    <row r="45" spans="1:35" ht="29.25" customHeight="1" hidden="1">
      <c r="A45" s="66"/>
      <c r="B45" s="108" t="s">
        <v>169</v>
      </c>
      <c r="C45" s="83">
        <v>0</v>
      </c>
      <c r="D45" s="83">
        <v>0</v>
      </c>
      <c r="E45" s="77"/>
      <c r="F45" s="82">
        <f>C45-D45</f>
        <v>0</v>
      </c>
      <c r="G45" s="68"/>
      <c r="H45" s="68"/>
      <c r="I45" s="68"/>
      <c r="J45" s="68"/>
      <c r="K45" s="68"/>
      <c r="L45" s="68"/>
      <c r="M45" s="68"/>
      <c r="N45" s="68"/>
      <c r="O45" s="68"/>
      <c r="P45" s="68"/>
      <c r="Q45" s="68"/>
      <c r="R45" s="68"/>
      <c r="AB45" s="53"/>
      <c r="AC45" s="53"/>
      <c r="AD45" s="53"/>
      <c r="AE45" s="53"/>
      <c r="AF45" s="53"/>
      <c r="AG45" s="53"/>
      <c r="AH45" s="53"/>
      <c r="AI45" s="53"/>
    </row>
    <row r="46" spans="1:18" s="55" customFormat="1" ht="9" customHeight="1">
      <c r="A46" s="66"/>
      <c r="B46" s="117"/>
      <c r="C46" s="118"/>
      <c r="D46" s="118"/>
      <c r="E46" s="119"/>
      <c r="F46" s="120"/>
      <c r="G46" s="68"/>
      <c r="H46" s="68"/>
      <c r="I46" s="68"/>
      <c r="J46" s="68"/>
      <c r="K46" s="68"/>
      <c r="L46" s="68"/>
      <c r="M46" s="68"/>
      <c r="N46" s="68"/>
      <c r="O46" s="68"/>
      <c r="P46" s="68"/>
      <c r="Q46" s="68"/>
      <c r="R46" s="68"/>
    </row>
    <row r="47" spans="1:35" ht="22.5" customHeight="1">
      <c r="A47" s="66"/>
      <c r="B47" s="187" t="s">
        <v>11</v>
      </c>
      <c r="C47" s="264">
        <f>C32+C40</f>
        <v>42227.12962962963</v>
      </c>
      <c r="D47" s="264">
        <f>D32+D40</f>
        <v>16115.185185185186</v>
      </c>
      <c r="E47" s="189"/>
      <c r="F47" s="260">
        <f>IF(F32+F40&lt;0,FLOOR(F32+F40,-100),FLOOR(F32+F40,100))</f>
        <v>26100</v>
      </c>
      <c r="G47" s="68"/>
      <c r="H47" s="68"/>
      <c r="I47" s="68"/>
      <c r="J47" s="68"/>
      <c r="K47" s="68"/>
      <c r="L47" s="68"/>
      <c r="M47" s="68"/>
      <c r="N47" s="68"/>
      <c r="O47" s="68"/>
      <c r="P47" s="68"/>
      <c r="Q47" s="68"/>
      <c r="R47" s="68"/>
      <c r="AB47" s="53"/>
      <c r="AC47" s="53"/>
      <c r="AD47" s="53"/>
      <c r="AE47" s="53"/>
      <c r="AF47" s="53"/>
      <c r="AG47" s="53"/>
      <c r="AH47" s="53"/>
      <c r="AI47" s="53"/>
    </row>
    <row r="48" spans="1:18" s="55" customFormat="1" ht="9" customHeight="1">
      <c r="A48" s="66"/>
      <c r="B48" s="106"/>
      <c r="C48" s="122"/>
      <c r="D48" s="122"/>
      <c r="E48" s="122"/>
      <c r="F48" s="122"/>
      <c r="G48" s="68"/>
      <c r="H48" s="68"/>
      <c r="I48" s="68"/>
      <c r="J48" s="68"/>
      <c r="K48" s="68"/>
      <c r="L48" s="68"/>
      <c r="M48" s="68"/>
      <c r="N48" s="68"/>
      <c r="O48" s="68"/>
      <c r="P48" s="68"/>
      <c r="Q48" s="68"/>
      <c r="R48" s="68"/>
    </row>
    <row r="49" spans="1:18" s="55" customFormat="1" ht="30" customHeight="1">
      <c r="A49" s="66"/>
      <c r="B49" s="273" t="s">
        <v>132</v>
      </c>
      <c r="C49" s="273"/>
      <c r="D49" s="273"/>
      <c r="E49" s="273"/>
      <c r="F49" s="274"/>
      <c r="G49" s="76"/>
      <c r="H49" s="68"/>
      <c r="I49" s="68"/>
      <c r="J49" s="68"/>
      <c r="K49" s="68"/>
      <c r="L49" s="68"/>
      <c r="M49" s="68"/>
      <c r="N49" s="68"/>
      <c r="O49" s="68"/>
      <c r="P49" s="68"/>
      <c r="Q49" s="68"/>
      <c r="R49" s="68"/>
    </row>
    <row r="50" spans="1:35" ht="22.5" customHeight="1" hidden="1">
      <c r="A50" s="66"/>
      <c r="B50" s="109" t="s">
        <v>188</v>
      </c>
      <c r="C50" s="275" t="s">
        <v>189</v>
      </c>
      <c r="D50" s="275"/>
      <c r="E50" s="77"/>
      <c r="F50" s="77"/>
      <c r="G50" s="68"/>
      <c r="H50" s="68"/>
      <c r="I50" s="68"/>
      <c r="J50" s="68"/>
      <c r="K50" s="68"/>
      <c r="L50" s="68"/>
      <c r="M50" s="68"/>
      <c r="N50" s="68"/>
      <c r="O50" s="68"/>
      <c r="P50" s="68"/>
      <c r="Q50" s="68"/>
      <c r="R50" s="68"/>
      <c r="AB50" s="53"/>
      <c r="AC50" s="53"/>
      <c r="AD50" s="53"/>
      <c r="AE50" s="53"/>
      <c r="AF50" s="53"/>
      <c r="AG50" s="53"/>
      <c r="AH50" s="53"/>
      <c r="AI50" s="53"/>
    </row>
    <row r="51" spans="1:35" ht="22.5" customHeight="1" hidden="1">
      <c r="A51" s="66"/>
      <c r="B51" s="107" t="s">
        <v>4</v>
      </c>
      <c r="C51" s="81"/>
      <c r="D51" s="81"/>
      <c r="E51" s="77"/>
      <c r="F51" s="77"/>
      <c r="G51" s="68"/>
      <c r="H51" s="68"/>
      <c r="I51" s="68"/>
      <c r="J51" s="68"/>
      <c r="K51" s="68"/>
      <c r="L51" s="68"/>
      <c r="M51" s="68"/>
      <c r="N51" s="68"/>
      <c r="O51" s="68"/>
      <c r="P51" s="68"/>
      <c r="Q51" s="68"/>
      <c r="R51" s="68"/>
      <c r="AB51" s="53"/>
      <c r="AC51" s="53"/>
      <c r="AD51" s="53"/>
      <c r="AE51" s="53"/>
      <c r="AF51" s="53"/>
      <c r="AG51" s="53"/>
      <c r="AH51" s="53"/>
      <c r="AI51" s="53"/>
    </row>
    <row r="52" spans="1:35" ht="22.5" customHeight="1" hidden="1">
      <c r="A52" s="66"/>
      <c r="B52" s="107">
        <v>1</v>
      </c>
      <c r="C52" s="81"/>
      <c r="D52" s="81"/>
      <c r="E52" s="80"/>
      <c r="F52" s="77"/>
      <c r="G52" s="68"/>
      <c r="H52" s="68"/>
      <c r="I52" s="68"/>
      <c r="J52" s="68"/>
      <c r="K52" s="68"/>
      <c r="L52" s="68"/>
      <c r="M52" s="68"/>
      <c r="N52" s="68"/>
      <c r="O52" s="68"/>
      <c r="P52" s="68"/>
      <c r="Q52" s="68"/>
      <c r="R52" s="68"/>
      <c r="AB52" s="53"/>
      <c r="AC52" s="53"/>
      <c r="AD52" s="53"/>
      <c r="AE52" s="53"/>
      <c r="AF52" s="53"/>
      <c r="AG52" s="53"/>
      <c r="AH52" s="53"/>
      <c r="AI52" s="53"/>
    </row>
    <row r="53" spans="1:35" ht="22.5" customHeight="1" hidden="1">
      <c r="A53" s="66"/>
      <c r="B53" s="107">
        <v>2</v>
      </c>
      <c r="C53" s="81"/>
      <c r="D53" s="81"/>
      <c r="E53" s="80"/>
      <c r="F53" s="77"/>
      <c r="G53" s="68"/>
      <c r="H53" s="68"/>
      <c r="I53" s="68"/>
      <c r="J53" s="68"/>
      <c r="K53" s="68"/>
      <c r="L53" s="68"/>
      <c r="M53" s="68"/>
      <c r="N53" s="68"/>
      <c r="O53" s="68"/>
      <c r="P53" s="68"/>
      <c r="Q53" s="68"/>
      <c r="R53" s="68"/>
      <c r="AB53" s="53"/>
      <c r="AC53" s="53"/>
      <c r="AD53" s="53"/>
      <c r="AE53" s="53"/>
      <c r="AF53" s="53"/>
      <c r="AG53" s="53"/>
      <c r="AH53" s="53"/>
      <c r="AI53" s="53"/>
    </row>
    <row r="54" spans="1:35" ht="22.5" customHeight="1" hidden="1">
      <c r="A54" s="66"/>
      <c r="B54" s="107">
        <v>3</v>
      </c>
      <c r="C54" s="81"/>
      <c r="D54" s="81"/>
      <c r="E54" s="80"/>
      <c r="F54" s="77"/>
      <c r="G54" s="68"/>
      <c r="H54" s="68"/>
      <c r="I54" s="68"/>
      <c r="J54" s="68"/>
      <c r="K54" s="68"/>
      <c r="L54" s="68"/>
      <c r="M54" s="68"/>
      <c r="N54" s="68"/>
      <c r="O54" s="68"/>
      <c r="P54" s="68"/>
      <c r="Q54" s="68"/>
      <c r="R54" s="68"/>
      <c r="AB54" s="53"/>
      <c r="AC54" s="53"/>
      <c r="AD54" s="53"/>
      <c r="AE54" s="53"/>
      <c r="AF54" s="53"/>
      <c r="AG54" s="53"/>
      <c r="AH54" s="53"/>
      <c r="AI54" s="53"/>
    </row>
    <row r="55" spans="1:35" ht="22.5" customHeight="1" hidden="1">
      <c r="A55" s="66"/>
      <c r="B55" s="107">
        <v>4</v>
      </c>
      <c r="C55" s="81"/>
      <c r="D55" s="81"/>
      <c r="E55" s="80"/>
      <c r="F55" s="77"/>
      <c r="G55" s="68"/>
      <c r="H55" s="68"/>
      <c r="I55" s="68"/>
      <c r="J55" s="68"/>
      <c r="K55" s="68"/>
      <c r="L55" s="68"/>
      <c r="M55" s="68"/>
      <c r="N55" s="68"/>
      <c r="O55" s="68"/>
      <c r="P55" s="68"/>
      <c r="Q55" s="68"/>
      <c r="R55" s="68"/>
      <c r="AB55" s="53"/>
      <c r="AC55" s="53"/>
      <c r="AD55" s="53"/>
      <c r="AE55" s="53"/>
      <c r="AF55" s="53"/>
      <c r="AG55" s="53"/>
      <c r="AH55" s="53"/>
      <c r="AI55" s="53"/>
    </row>
    <row r="56" spans="1:35" ht="22.5" customHeight="1" hidden="1">
      <c r="A56" s="66"/>
      <c r="B56" s="107">
        <v>5</v>
      </c>
      <c r="C56" s="81"/>
      <c r="D56" s="81"/>
      <c r="E56" s="80"/>
      <c r="F56" s="77"/>
      <c r="G56" s="68"/>
      <c r="H56" s="68"/>
      <c r="I56" s="68"/>
      <c r="J56" s="68"/>
      <c r="K56" s="68"/>
      <c r="L56" s="68"/>
      <c r="M56" s="68"/>
      <c r="N56" s="68"/>
      <c r="O56" s="68"/>
      <c r="P56" s="68"/>
      <c r="Q56" s="68"/>
      <c r="R56" s="68"/>
      <c r="AB56" s="53"/>
      <c r="AC56" s="53"/>
      <c r="AD56" s="53"/>
      <c r="AE56" s="53"/>
      <c r="AF56" s="53"/>
      <c r="AG56" s="53"/>
      <c r="AH56" s="53"/>
      <c r="AI56" s="53"/>
    </row>
    <row r="57" spans="1:35" ht="22.5" customHeight="1" hidden="1">
      <c r="A57" s="66"/>
      <c r="B57" s="107">
        <v>6</v>
      </c>
      <c r="C57" s="81"/>
      <c r="D57" s="81"/>
      <c r="E57" s="80"/>
      <c r="F57" s="77"/>
      <c r="G57" s="68"/>
      <c r="H57" s="68"/>
      <c r="I57" s="68"/>
      <c r="J57" s="68"/>
      <c r="K57" s="68"/>
      <c r="L57" s="68"/>
      <c r="M57" s="68"/>
      <c r="N57" s="68"/>
      <c r="O57" s="68"/>
      <c r="P57" s="68"/>
      <c r="Q57" s="68"/>
      <c r="R57" s="68"/>
      <c r="AB57" s="53"/>
      <c r="AC57" s="53"/>
      <c r="AD57" s="53"/>
      <c r="AE57" s="53"/>
      <c r="AF57" s="53"/>
      <c r="AG57" s="53"/>
      <c r="AH57" s="53"/>
      <c r="AI57" s="53"/>
    </row>
    <row r="58" spans="1:35" ht="22.5" customHeight="1" hidden="1">
      <c r="A58" s="66"/>
      <c r="B58" s="107">
        <v>7</v>
      </c>
      <c r="C58" s="81"/>
      <c r="D58" s="81"/>
      <c r="E58" s="80"/>
      <c r="F58" s="77"/>
      <c r="G58" s="68"/>
      <c r="H58" s="68"/>
      <c r="I58" s="68"/>
      <c r="J58" s="68"/>
      <c r="K58" s="68"/>
      <c r="L58" s="68"/>
      <c r="M58" s="68"/>
      <c r="N58" s="68"/>
      <c r="O58" s="68"/>
      <c r="P58" s="68"/>
      <c r="Q58" s="68"/>
      <c r="R58" s="68"/>
      <c r="AB58" s="53"/>
      <c r="AC58" s="53"/>
      <c r="AD58" s="53"/>
      <c r="AE58" s="53"/>
      <c r="AF58" s="53"/>
      <c r="AG58" s="53"/>
      <c r="AH58" s="53"/>
      <c r="AI58" s="53"/>
    </row>
    <row r="59" spans="1:35" ht="22.5" customHeight="1" hidden="1">
      <c r="A59" s="66"/>
      <c r="B59" s="107">
        <v>8</v>
      </c>
      <c r="C59" s="81"/>
      <c r="D59" s="81"/>
      <c r="E59" s="80"/>
      <c r="F59" s="77"/>
      <c r="G59" s="68"/>
      <c r="H59" s="68"/>
      <c r="I59" s="68"/>
      <c r="J59" s="68"/>
      <c r="K59" s="68"/>
      <c r="L59" s="68"/>
      <c r="M59" s="68"/>
      <c r="N59" s="68"/>
      <c r="O59" s="68"/>
      <c r="P59" s="68"/>
      <c r="Q59" s="68"/>
      <c r="R59" s="68"/>
      <c r="AB59" s="53"/>
      <c r="AC59" s="53"/>
      <c r="AD59" s="53"/>
      <c r="AE59" s="53"/>
      <c r="AF59" s="53"/>
      <c r="AG59" s="53"/>
      <c r="AH59" s="53"/>
      <c r="AI59" s="53"/>
    </row>
    <row r="60" spans="1:35" ht="22.5" customHeight="1" hidden="1">
      <c r="A60" s="66"/>
      <c r="B60" s="107">
        <v>9</v>
      </c>
      <c r="C60" s="81"/>
      <c r="D60" s="81"/>
      <c r="E60" s="80"/>
      <c r="F60" s="77"/>
      <c r="G60" s="68"/>
      <c r="H60" s="68"/>
      <c r="I60" s="68"/>
      <c r="J60" s="68"/>
      <c r="K60" s="68"/>
      <c r="L60" s="68"/>
      <c r="M60" s="68"/>
      <c r="N60" s="68"/>
      <c r="O60" s="68"/>
      <c r="P60" s="68"/>
      <c r="Q60" s="68"/>
      <c r="R60" s="68"/>
      <c r="AB60" s="53"/>
      <c r="AC60" s="53"/>
      <c r="AD60" s="53"/>
      <c r="AE60" s="53"/>
      <c r="AF60" s="53"/>
      <c r="AG60" s="53"/>
      <c r="AH60" s="53"/>
      <c r="AI60" s="53"/>
    </row>
    <row r="61" spans="1:35" ht="22.5" customHeight="1" hidden="1">
      <c r="A61" s="66"/>
      <c r="B61" s="107">
        <v>10</v>
      </c>
      <c r="C61" s="81"/>
      <c r="D61" s="81"/>
      <c r="E61" s="80"/>
      <c r="F61" s="77"/>
      <c r="G61" s="68"/>
      <c r="H61" s="68"/>
      <c r="I61" s="68"/>
      <c r="J61" s="68"/>
      <c r="K61" s="68"/>
      <c r="L61" s="68"/>
      <c r="M61" s="68"/>
      <c r="N61" s="68"/>
      <c r="O61" s="68"/>
      <c r="P61" s="68"/>
      <c r="Q61" s="68"/>
      <c r="R61" s="68"/>
      <c r="AB61" s="53"/>
      <c r="AC61" s="53"/>
      <c r="AD61" s="53"/>
      <c r="AE61" s="53"/>
      <c r="AF61" s="53"/>
      <c r="AG61" s="53"/>
      <c r="AH61" s="53"/>
      <c r="AI61" s="53"/>
    </row>
    <row r="62" spans="1:35" ht="22.5" customHeight="1" hidden="1">
      <c r="A62" s="66"/>
      <c r="B62" s="107">
        <v>11</v>
      </c>
      <c r="C62" s="81"/>
      <c r="D62" s="81"/>
      <c r="E62" s="80"/>
      <c r="F62" s="77"/>
      <c r="G62" s="68"/>
      <c r="H62" s="68"/>
      <c r="I62" s="68"/>
      <c r="J62" s="68"/>
      <c r="K62" s="68"/>
      <c r="L62" s="68"/>
      <c r="M62" s="68"/>
      <c r="N62" s="68"/>
      <c r="O62" s="68"/>
      <c r="P62" s="68"/>
      <c r="Q62" s="68"/>
      <c r="R62" s="68"/>
      <c r="AB62" s="53"/>
      <c r="AC62" s="53"/>
      <c r="AD62" s="53"/>
      <c r="AE62" s="53"/>
      <c r="AF62" s="53"/>
      <c r="AG62" s="53"/>
      <c r="AH62" s="53"/>
      <c r="AI62" s="53"/>
    </row>
    <row r="63" spans="1:35" ht="22.5" customHeight="1" hidden="1">
      <c r="A63" s="66"/>
      <c r="B63" s="109" t="s">
        <v>191</v>
      </c>
      <c r="C63" s="85">
        <f>SUM(C51:C62)</f>
        <v>0</v>
      </c>
      <c r="D63" s="85">
        <f>SUM(D51:D62)</f>
        <v>0</v>
      </c>
      <c r="E63" s="80"/>
      <c r="F63" s="77"/>
      <c r="G63" s="68"/>
      <c r="H63" s="68"/>
      <c r="I63" s="68"/>
      <c r="J63" s="68"/>
      <c r="K63" s="68"/>
      <c r="L63" s="68"/>
      <c r="M63" s="68"/>
      <c r="N63" s="68"/>
      <c r="O63" s="68"/>
      <c r="P63" s="68"/>
      <c r="Q63" s="68"/>
      <c r="R63" s="68"/>
      <c r="AB63" s="53"/>
      <c r="AC63" s="53"/>
      <c r="AD63" s="53"/>
      <c r="AE63" s="53"/>
      <c r="AF63" s="53"/>
      <c r="AG63" s="53"/>
      <c r="AH63" s="53"/>
      <c r="AI63" s="53"/>
    </row>
    <row r="64" spans="1:18" s="55" customFormat="1" ht="9" customHeight="1">
      <c r="A64" s="66"/>
      <c r="B64" s="106"/>
      <c r="C64" s="122"/>
      <c r="D64" s="122"/>
      <c r="E64" s="122"/>
      <c r="F64" s="122"/>
      <c r="G64" s="68"/>
      <c r="H64" s="68"/>
      <c r="I64" s="68"/>
      <c r="J64" s="68"/>
      <c r="K64" s="68"/>
      <c r="L64" s="68"/>
      <c r="M64" s="68"/>
      <c r="N64" s="68"/>
      <c r="O64" s="68"/>
      <c r="P64" s="68"/>
      <c r="Q64" s="68"/>
      <c r="R64" s="68"/>
    </row>
    <row r="65" spans="1:35" ht="22.5" customHeight="1">
      <c r="A65" s="66"/>
      <c r="B65" s="173" t="s">
        <v>227</v>
      </c>
      <c r="C65" s="292" t="s">
        <v>189</v>
      </c>
      <c r="D65" s="293"/>
      <c r="E65" s="256"/>
      <c r="F65" s="257"/>
      <c r="G65" s="68"/>
      <c r="H65" s="68"/>
      <c r="I65" s="68"/>
      <c r="J65" s="68"/>
      <c r="K65" s="68"/>
      <c r="L65" s="68"/>
      <c r="M65" s="68"/>
      <c r="N65" s="68"/>
      <c r="O65" s="68"/>
      <c r="P65" s="68"/>
      <c r="Q65" s="68"/>
      <c r="R65" s="68"/>
      <c r="AB65" s="53"/>
      <c r="AC65" s="53"/>
      <c r="AD65" s="53"/>
      <c r="AE65" s="53"/>
      <c r="AF65" s="53"/>
      <c r="AG65" s="53"/>
      <c r="AH65" s="53"/>
      <c r="AI65" s="53"/>
    </row>
    <row r="66" spans="1:18" s="55" customFormat="1" ht="9" customHeight="1">
      <c r="A66" s="66"/>
      <c r="B66" s="106"/>
      <c r="C66" s="56"/>
      <c r="D66" s="56"/>
      <c r="E66" s="56"/>
      <c r="F66" s="56"/>
      <c r="G66" s="76"/>
      <c r="H66" s="68"/>
      <c r="I66" s="68"/>
      <c r="J66" s="68"/>
      <c r="K66" s="68"/>
      <c r="L66" s="68"/>
      <c r="M66" s="68"/>
      <c r="N66" s="68"/>
      <c r="O66" s="68"/>
      <c r="P66" s="68"/>
      <c r="Q66" s="68"/>
      <c r="R66" s="68"/>
    </row>
    <row r="67" spans="1:35" ht="22.5" customHeight="1">
      <c r="A67" s="66"/>
      <c r="B67" s="175" t="s">
        <v>4</v>
      </c>
      <c r="C67" s="233">
        <f>CMDryCurrentBas</f>
        <v>3</v>
      </c>
      <c r="D67" s="233">
        <f>CMDryTargetBas</f>
        <v>1</v>
      </c>
      <c r="E67" s="127"/>
      <c r="F67" s="127"/>
      <c r="G67" s="68"/>
      <c r="H67" s="68"/>
      <c r="I67" s="68"/>
      <c r="J67" s="68"/>
      <c r="K67" s="68"/>
      <c r="L67" s="68"/>
      <c r="M67" s="68"/>
      <c r="N67" s="68"/>
      <c r="O67" s="68"/>
      <c r="P67" s="68"/>
      <c r="Q67" s="68"/>
      <c r="R67" s="68"/>
      <c r="AB67" s="53"/>
      <c r="AC67" s="53"/>
      <c r="AD67" s="53"/>
      <c r="AE67" s="53"/>
      <c r="AF67" s="53"/>
      <c r="AG67" s="53"/>
      <c r="AH67" s="53"/>
      <c r="AI67" s="53"/>
    </row>
    <row r="68" spans="1:18" s="55" customFormat="1" ht="9" customHeight="1">
      <c r="A68" s="66"/>
      <c r="B68" s="106"/>
      <c r="C68" s="222"/>
      <c r="D68" s="222"/>
      <c r="E68" s="56"/>
      <c r="F68" s="56"/>
      <c r="G68" s="76"/>
      <c r="H68" s="68"/>
      <c r="I68" s="68"/>
      <c r="J68" s="68"/>
      <c r="K68" s="68"/>
      <c r="L68" s="68"/>
      <c r="M68" s="68"/>
      <c r="N68" s="68"/>
      <c r="O68" s="68"/>
      <c r="P68" s="68"/>
      <c r="Q68" s="68"/>
      <c r="R68" s="68"/>
    </row>
    <row r="69" spans="1:35" ht="22.5" customHeight="1">
      <c r="A69" s="66"/>
      <c r="B69" s="175" t="str">
        <f>VLOOKUP(ClinicalCosts!$B$151+0,ClinicalCosts!$A$125:$B$148,2)</f>
        <v>Jul</v>
      </c>
      <c r="C69" s="233">
        <f>DataInputIntermediate!C59</f>
        <v>15</v>
      </c>
      <c r="D69" s="233">
        <f>DataInputIntermediate!D59</f>
        <v>8</v>
      </c>
      <c r="E69" s="127"/>
      <c r="F69" s="127"/>
      <c r="G69" s="68"/>
      <c r="H69" s="68"/>
      <c r="I69" s="68"/>
      <c r="J69" s="68"/>
      <c r="K69" s="68"/>
      <c r="L69" s="68"/>
      <c r="M69" s="68"/>
      <c r="N69" s="68"/>
      <c r="O69" s="68"/>
      <c r="P69" s="68"/>
      <c r="Q69" s="68"/>
      <c r="R69" s="68"/>
      <c r="AB69" s="53"/>
      <c r="AC69" s="53"/>
      <c r="AD69" s="53"/>
      <c r="AE69" s="53"/>
      <c r="AF69" s="53"/>
      <c r="AG69" s="53"/>
      <c r="AH69" s="53"/>
      <c r="AI69" s="53"/>
    </row>
    <row r="70" spans="1:18" s="55" customFormat="1" ht="9" customHeight="1">
      <c r="A70" s="66"/>
      <c r="B70" s="106"/>
      <c r="C70" s="222"/>
      <c r="D70" s="222"/>
      <c r="E70" s="56"/>
      <c r="F70" s="56"/>
      <c r="G70" s="76"/>
      <c r="H70" s="68"/>
      <c r="I70" s="68"/>
      <c r="J70" s="68"/>
      <c r="K70" s="68"/>
      <c r="L70" s="68"/>
      <c r="M70" s="68"/>
      <c r="N70" s="68"/>
      <c r="O70" s="68"/>
      <c r="P70" s="68"/>
      <c r="Q70" s="68"/>
      <c r="R70" s="68"/>
    </row>
    <row r="71" spans="1:35" ht="22.5" customHeight="1">
      <c r="A71" s="66"/>
      <c r="B71" s="175" t="s">
        <v>228</v>
      </c>
      <c r="C71" s="233">
        <f>DataInputIntermediate!C61</f>
        <v>15</v>
      </c>
      <c r="D71" s="233">
        <f>DataInputIntermediate!D61</f>
        <v>8</v>
      </c>
      <c r="E71" s="127"/>
      <c r="F71" s="127"/>
      <c r="G71" s="68"/>
      <c r="H71" s="68"/>
      <c r="I71" s="68"/>
      <c r="J71" s="68"/>
      <c r="K71" s="68"/>
      <c r="L71" s="68"/>
      <c r="M71" s="68"/>
      <c r="N71" s="68"/>
      <c r="O71" s="68"/>
      <c r="P71" s="68"/>
      <c r="Q71" s="68"/>
      <c r="R71" s="68"/>
      <c r="AB71" s="53"/>
      <c r="AC71" s="53"/>
      <c r="AD71" s="53"/>
      <c r="AE71" s="53"/>
      <c r="AF71" s="53"/>
      <c r="AG71" s="53"/>
      <c r="AH71" s="53"/>
      <c r="AI71" s="53"/>
    </row>
    <row r="72" spans="1:18" s="55" customFormat="1" ht="9" customHeight="1">
      <c r="A72" s="66"/>
      <c r="B72" s="106"/>
      <c r="C72" s="222"/>
      <c r="D72" s="222"/>
      <c r="E72" s="56"/>
      <c r="F72" s="56"/>
      <c r="G72" s="76"/>
      <c r="H72" s="68"/>
      <c r="I72" s="68"/>
      <c r="J72" s="68"/>
      <c r="K72" s="68"/>
      <c r="L72" s="68"/>
      <c r="M72" s="68"/>
      <c r="N72" s="68"/>
      <c r="O72" s="68"/>
      <c r="P72" s="68"/>
      <c r="Q72" s="68"/>
      <c r="R72" s="68"/>
    </row>
    <row r="73" spans="1:35" ht="22.5" customHeight="1">
      <c r="A73" s="66"/>
      <c r="B73" s="175" t="s">
        <v>229</v>
      </c>
      <c r="C73" s="233">
        <f>DataInputIntermediate!C63</f>
        <v>15</v>
      </c>
      <c r="D73" s="233">
        <f>DataInputIntermediate!D63</f>
        <v>8</v>
      </c>
      <c r="E73" s="127"/>
      <c r="F73" s="127"/>
      <c r="G73" s="68"/>
      <c r="H73" s="68"/>
      <c r="I73" s="68"/>
      <c r="J73" s="68"/>
      <c r="K73" s="68"/>
      <c r="L73" s="68"/>
      <c r="M73" s="68"/>
      <c r="N73" s="68"/>
      <c r="O73" s="68"/>
      <c r="P73" s="68"/>
      <c r="Q73" s="68"/>
      <c r="R73" s="68"/>
      <c r="AB73" s="53"/>
      <c r="AC73" s="53"/>
      <c r="AD73" s="53"/>
      <c r="AE73" s="53"/>
      <c r="AF73" s="53"/>
      <c r="AG73" s="53"/>
      <c r="AH73" s="53"/>
      <c r="AI73" s="53"/>
    </row>
    <row r="74" spans="1:18" s="55" customFormat="1" ht="9" customHeight="1">
      <c r="A74" s="66"/>
      <c r="B74" s="106"/>
      <c r="C74" s="222"/>
      <c r="D74" s="222"/>
      <c r="E74" s="56"/>
      <c r="F74" s="56"/>
      <c r="G74" s="76"/>
      <c r="H74" s="68"/>
      <c r="I74" s="68"/>
      <c r="J74" s="68"/>
      <c r="K74" s="68"/>
      <c r="L74" s="68"/>
      <c r="M74" s="68"/>
      <c r="N74" s="68"/>
      <c r="O74" s="68"/>
      <c r="P74" s="68"/>
      <c r="Q74" s="68"/>
      <c r="R74" s="68"/>
    </row>
    <row r="75" spans="1:35" ht="22.5" customHeight="1">
      <c r="A75" s="66"/>
      <c r="B75" s="175" t="s">
        <v>230</v>
      </c>
      <c r="C75" s="233">
        <f>DataInputIntermediate!C65</f>
        <v>15</v>
      </c>
      <c r="D75" s="233">
        <f>DataInputIntermediate!D65</f>
        <v>8</v>
      </c>
      <c r="E75" s="127"/>
      <c r="F75" s="127"/>
      <c r="G75" s="68"/>
      <c r="H75" s="68"/>
      <c r="I75" s="68"/>
      <c r="J75" s="68"/>
      <c r="K75" s="68"/>
      <c r="L75" s="68"/>
      <c r="M75" s="68"/>
      <c r="N75" s="68"/>
      <c r="O75" s="68"/>
      <c r="P75" s="68"/>
      <c r="Q75" s="68"/>
      <c r="R75" s="68"/>
      <c r="AB75" s="53"/>
      <c r="AC75" s="53"/>
      <c r="AD75" s="53"/>
      <c r="AE75" s="53"/>
      <c r="AF75" s="53"/>
      <c r="AG75" s="53"/>
      <c r="AH75" s="53"/>
      <c r="AI75" s="53"/>
    </row>
    <row r="76" spans="1:18" s="55" customFormat="1" ht="9" customHeight="1">
      <c r="A76" s="66"/>
      <c r="B76" s="106"/>
      <c r="C76" s="222"/>
      <c r="D76" s="222"/>
      <c r="E76" s="56"/>
      <c r="F76" s="56"/>
      <c r="G76" s="76"/>
      <c r="H76" s="68"/>
      <c r="I76" s="68"/>
      <c r="J76" s="68"/>
      <c r="K76" s="68"/>
      <c r="L76" s="68"/>
      <c r="M76" s="68"/>
      <c r="N76" s="68"/>
      <c r="O76" s="68"/>
      <c r="P76" s="68"/>
      <c r="Q76" s="68"/>
      <c r="R76" s="68"/>
    </row>
    <row r="77" spans="1:35" ht="22.5" customHeight="1">
      <c r="A77" s="66"/>
      <c r="B77" s="175" t="s">
        <v>231</v>
      </c>
      <c r="C77" s="233">
        <f>DataInputIntermediate!C67</f>
        <v>2</v>
      </c>
      <c r="D77" s="233">
        <f>DataInputIntermediate!D67</f>
        <v>1</v>
      </c>
      <c r="E77" s="127"/>
      <c r="F77" s="127"/>
      <c r="G77" s="68"/>
      <c r="H77" s="68"/>
      <c r="I77" s="68"/>
      <c r="J77" s="68"/>
      <c r="K77" s="68"/>
      <c r="L77" s="68"/>
      <c r="M77" s="68"/>
      <c r="N77" s="68"/>
      <c r="O77" s="68"/>
      <c r="P77" s="68"/>
      <c r="Q77" s="68"/>
      <c r="R77" s="68"/>
      <c r="AB77" s="53"/>
      <c r="AC77" s="53"/>
      <c r="AD77" s="53"/>
      <c r="AE77" s="53"/>
      <c r="AF77" s="53"/>
      <c r="AG77" s="53"/>
      <c r="AH77" s="53"/>
      <c r="AI77" s="53"/>
    </row>
    <row r="78" spans="1:18" s="55" customFormat="1" ht="9" customHeight="1">
      <c r="A78" s="66"/>
      <c r="B78" s="106"/>
      <c r="C78" s="222"/>
      <c r="D78" s="222"/>
      <c r="E78" s="56"/>
      <c r="F78" s="56"/>
      <c r="G78" s="76"/>
      <c r="H78" s="68"/>
      <c r="I78" s="68"/>
      <c r="J78" s="68"/>
      <c r="K78" s="68"/>
      <c r="L78" s="68"/>
      <c r="M78" s="68"/>
      <c r="N78" s="68"/>
      <c r="O78" s="68"/>
      <c r="P78" s="68"/>
      <c r="Q78" s="68"/>
      <c r="R78" s="68"/>
    </row>
    <row r="79" spans="1:35" ht="22.5" customHeight="1">
      <c r="A79" s="66"/>
      <c r="B79" s="175" t="s">
        <v>232</v>
      </c>
      <c r="C79" s="233">
        <f>DataInputIntermediate!C69</f>
        <v>2</v>
      </c>
      <c r="D79" s="233">
        <f>DataInputIntermediate!D69</f>
        <v>1</v>
      </c>
      <c r="E79" s="127"/>
      <c r="F79" s="127"/>
      <c r="G79" s="68"/>
      <c r="H79" s="68"/>
      <c r="I79" s="68"/>
      <c r="J79" s="68"/>
      <c r="K79" s="68"/>
      <c r="L79" s="68"/>
      <c r="M79" s="68"/>
      <c r="N79" s="68"/>
      <c r="O79" s="68"/>
      <c r="P79" s="68"/>
      <c r="Q79" s="68"/>
      <c r="R79" s="68"/>
      <c r="AB79" s="53"/>
      <c r="AC79" s="53"/>
      <c r="AD79" s="53"/>
      <c r="AE79" s="53"/>
      <c r="AF79" s="53"/>
      <c r="AG79" s="53"/>
      <c r="AH79" s="53"/>
      <c r="AI79" s="53"/>
    </row>
    <row r="80" spans="1:18" s="55" customFormat="1" ht="9" customHeight="1">
      <c r="A80" s="66"/>
      <c r="B80" s="106"/>
      <c r="C80" s="222"/>
      <c r="D80" s="222"/>
      <c r="E80" s="56"/>
      <c r="F80" s="56"/>
      <c r="G80" s="76"/>
      <c r="H80" s="68"/>
      <c r="I80" s="68"/>
      <c r="J80" s="68"/>
      <c r="K80" s="68"/>
      <c r="L80" s="68"/>
      <c r="M80" s="68"/>
      <c r="N80" s="68"/>
      <c r="O80" s="68"/>
      <c r="P80" s="68"/>
      <c r="Q80" s="68"/>
      <c r="R80" s="68"/>
    </row>
    <row r="81" spans="1:35" ht="22.5" customHeight="1">
      <c r="A81" s="66"/>
      <c r="B81" s="175" t="s">
        <v>233</v>
      </c>
      <c r="C81" s="233">
        <f>DataInputIntermediate!C71</f>
        <v>2</v>
      </c>
      <c r="D81" s="233">
        <f>DataInputIntermediate!D71</f>
        <v>1</v>
      </c>
      <c r="E81" s="127"/>
      <c r="F81" s="127"/>
      <c r="G81" s="68"/>
      <c r="H81" s="68"/>
      <c r="I81" s="68"/>
      <c r="J81" s="68"/>
      <c r="K81" s="68"/>
      <c r="L81" s="68"/>
      <c r="M81" s="68"/>
      <c r="N81" s="68"/>
      <c r="O81" s="68"/>
      <c r="P81" s="68"/>
      <c r="Q81" s="68"/>
      <c r="R81" s="68"/>
      <c r="AB81" s="53"/>
      <c r="AC81" s="53"/>
      <c r="AD81" s="53"/>
      <c r="AE81" s="53"/>
      <c r="AF81" s="53"/>
      <c r="AG81" s="53"/>
      <c r="AH81" s="53"/>
      <c r="AI81" s="53"/>
    </row>
    <row r="82" spans="1:18" s="55" customFormat="1" ht="9" customHeight="1">
      <c r="A82" s="66"/>
      <c r="B82" s="106"/>
      <c r="C82" s="222"/>
      <c r="D82" s="222"/>
      <c r="E82" s="56"/>
      <c r="F82" s="56"/>
      <c r="G82" s="76"/>
      <c r="H82" s="68"/>
      <c r="I82" s="68"/>
      <c r="J82" s="68"/>
      <c r="K82" s="68"/>
      <c r="L82" s="68"/>
      <c r="M82" s="68"/>
      <c r="N82" s="68"/>
      <c r="O82" s="68"/>
      <c r="P82" s="68"/>
      <c r="Q82" s="68"/>
      <c r="R82" s="68"/>
    </row>
    <row r="83" spans="1:35" ht="22.5" customHeight="1">
      <c r="A83" s="66"/>
      <c r="B83" s="175" t="s">
        <v>234</v>
      </c>
      <c r="C83" s="233">
        <f>DataInputIntermediate!C73</f>
        <v>2</v>
      </c>
      <c r="D83" s="233">
        <f>DataInputIntermediate!D73</f>
        <v>1</v>
      </c>
      <c r="E83" s="127"/>
      <c r="F83" s="127"/>
      <c r="G83" s="68"/>
      <c r="H83" s="68"/>
      <c r="I83" s="68"/>
      <c r="J83" s="68"/>
      <c r="K83" s="68"/>
      <c r="L83" s="68"/>
      <c r="M83" s="68"/>
      <c r="N83" s="68"/>
      <c r="O83" s="68"/>
      <c r="P83" s="68"/>
      <c r="Q83" s="68"/>
      <c r="R83" s="68"/>
      <c r="AB83" s="53"/>
      <c r="AC83" s="53"/>
      <c r="AD83" s="53"/>
      <c r="AE83" s="53"/>
      <c r="AF83" s="53"/>
      <c r="AG83" s="53"/>
      <c r="AH83" s="53"/>
      <c r="AI83" s="53"/>
    </row>
    <row r="84" spans="1:18" s="55" customFormat="1" ht="9" customHeight="1">
      <c r="A84" s="66"/>
      <c r="B84" s="106"/>
      <c r="C84" s="222"/>
      <c r="D84" s="222"/>
      <c r="E84" s="56"/>
      <c r="F84" s="56"/>
      <c r="G84" s="76"/>
      <c r="H84" s="68"/>
      <c r="I84" s="68"/>
      <c r="J84" s="68"/>
      <c r="K84" s="68"/>
      <c r="L84" s="68"/>
      <c r="M84" s="68"/>
      <c r="N84" s="68"/>
      <c r="O84" s="68"/>
      <c r="P84" s="68"/>
      <c r="Q84" s="68"/>
      <c r="R84" s="68"/>
    </row>
    <row r="85" spans="1:35" ht="22.5" customHeight="1">
      <c r="A85" s="66"/>
      <c r="B85" s="175" t="s">
        <v>235</v>
      </c>
      <c r="C85" s="233">
        <f>DataInputIntermediate!C75</f>
        <v>2</v>
      </c>
      <c r="D85" s="233">
        <f>DataInputIntermediate!D75</f>
        <v>1</v>
      </c>
      <c r="E85" s="127"/>
      <c r="F85" s="127"/>
      <c r="G85" s="68"/>
      <c r="H85" s="68"/>
      <c r="I85" s="68"/>
      <c r="J85" s="68"/>
      <c r="K85" s="68"/>
      <c r="L85" s="68"/>
      <c r="M85" s="68"/>
      <c r="N85" s="68"/>
      <c r="O85" s="68"/>
      <c r="P85" s="68"/>
      <c r="Q85" s="68"/>
      <c r="R85" s="68"/>
      <c r="AB85" s="53"/>
      <c r="AC85" s="53"/>
      <c r="AD85" s="53"/>
      <c r="AE85" s="53"/>
      <c r="AF85" s="53"/>
      <c r="AG85" s="53"/>
      <c r="AH85" s="53"/>
      <c r="AI85" s="53"/>
    </row>
    <row r="86" spans="1:18" s="55" customFormat="1" ht="9" customHeight="1">
      <c r="A86" s="66"/>
      <c r="B86" s="106"/>
      <c r="C86" s="222"/>
      <c r="D86" s="222"/>
      <c r="E86" s="56"/>
      <c r="F86" s="56"/>
      <c r="G86" s="76"/>
      <c r="H86" s="68"/>
      <c r="I86" s="68"/>
      <c r="J86" s="68"/>
      <c r="K86" s="68"/>
      <c r="L86" s="68"/>
      <c r="M86" s="68"/>
      <c r="N86" s="68"/>
      <c r="O86" s="68"/>
      <c r="P86" s="68"/>
      <c r="Q86" s="68"/>
      <c r="R86" s="68"/>
    </row>
    <row r="87" spans="1:35" ht="22.5" customHeight="1">
      <c r="A87" s="66"/>
      <c r="B87" s="175" t="s">
        <v>236</v>
      </c>
      <c r="C87" s="233">
        <f>DataInputIntermediate!C77</f>
        <v>2</v>
      </c>
      <c r="D87" s="233">
        <f>DataInputIntermediate!D77</f>
        <v>1</v>
      </c>
      <c r="E87" s="127"/>
      <c r="F87" s="127"/>
      <c r="G87" s="68"/>
      <c r="H87" s="68"/>
      <c r="I87" s="68"/>
      <c r="J87" s="68"/>
      <c r="K87" s="68"/>
      <c r="L87" s="68"/>
      <c r="M87" s="68"/>
      <c r="N87" s="68"/>
      <c r="O87" s="68"/>
      <c r="P87" s="68"/>
      <c r="Q87" s="68"/>
      <c r="R87" s="68"/>
      <c r="AB87" s="53"/>
      <c r="AC87" s="53"/>
      <c r="AD87" s="53"/>
      <c r="AE87" s="53"/>
      <c r="AF87" s="53"/>
      <c r="AG87" s="53"/>
      <c r="AH87" s="53"/>
      <c r="AI87" s="53"/>
    </row>
    <row r="88" spans="1:18" s="55" customFormat="1" ht="9" customHeight="1">
      <c r="A88" s="66"/>
      <c r="B88" s="106"/>
      <c r="C88" s="222"/>
      <c r="D88" s="222"/>
      <c r="E88" s="56"/>
      <c r="F88" s="56"/>
      <c r="G88" s="76"/>
      <c r="H88" s="68"/>
      <c r="I88" s="68"/>
      <c r="J88" s="68"/>
      <c r="K88" s="68"/>
      <c r="L88" s="68"/>
      <c r="M88" s="68"/>
      <c r="N88" s="68"/>
      <c r="O88" s="68"/>
      <c r="P88" s="68"/>
      <c r="Q88" s="68"/>
      <c r="R88" s="68"/>
    </row>
    <row r="89" spans="1:35" ht="22.5" customHeight="1">
      <c r="A89" s="66"/>
      <c r="B89" s="175" t="s">
        <v>218</v>
      </c>
      <c r="C89" s="233">
        <f>DataInputIntermediate!C79</f>
        <v>0</v>
      </c>
      <c r="D89" s="233">
        <f>DataInputIntermediate!D79</f>
        <v>0</v>
      </c>
      <c r="E89" s="127"/>
      <c r="F89" s="127"/>
      <c r="G89" s="68"/>
      <c r="H89" s="68"/>
      <c r="I89" s="68"/>
      <c r="J89" s="68"/>
      <c r="K89" s="68"/>
      <c r="L89" s="68"/>
      <c r="M89" s="68"/>
      <c r="N89" s="68"/>
      <c r="O89" s="68"/>
      <c r="P89" s="68"/>
      <c r="Q89" s="68"/>
      <c r="R89" s="68"/>
      <c r="AB89" s="53"/>
      <c r="AC89" s="53"/>
      <c r="AD89" s="53"/>
      <c r="AE89" s="53"/>
      <c r="AF89" s="53"/>
      <c r="AG89" s="53"/>
      <c r="AH89" s="53"/>
      <c r="AI89" s="53"/>
    </row>
    <row r="90" spans="1:18" s="55" customFormat="1" ht="9" customHeight="1">
      <c r="A90" s="66"/>
      <c r="B90" s="106"/>
      <c r="C90" s="56"/>
      <c r="D90" s="56"/>
      <c r="E90" s="56"/>
      <c r="F90" s="56"/>
      <c r="G90" s="76"/>
      <c r="H90" s="68"/>
      <c r="I90" s="68"/>
      <c r="J90" s="68"/>
      <c r="K90" s="68"/>
      <c r="L90" s="68"/>
      <c r="M90" s="68"/>
      <c r="N90" s="68"/>
      <c r="O90" s="68"/>
      <c r="P90" s="68"/>
      <c r="Q90" s="68"/>
      <c r="R90" s="68"/>
    </row>
    <row r="91" spans="1:35" ht="36" customHeight="1">
      <c r="A91" s="66"/>
      <c r="B91" s="140" t="s">
        <v>237</v>
      </c>
      <c r="C91" s="218">
        <f>SUM(C67:C89)</f>
        <v>75</v>
      </c>
      <c r="D91" s="218">
        <f>SUM(D67:D89)</f>
        <v>39</v>
      </c>
      <c r="E91" s="127"/>
      <c r="F91" s="127"/>
      <c r="G91" s="68"/>
      <c r="H91" s="68"/>
      <c r="I91" s="68"/>
      <c r="J91" s="68"/>
      <c r="K91" s="68"/>
      <c r="L91" s="68"/>
      <c r="M91" s="68"/>
      <c r="N91" s="68"/>
      <c r="O91" s="68"/>
      <c r="P91" s="68"/>
      <c r="Q91" s="68"/>
      <c r="R91" s="68"/>
      <c r="AB91" s="53"/>
      <c r="AC91" s="53"/>
      <c r="AD91" s="53"/>
      <c r="AE91" s="53"/>
      <c r="AF91" s="53"/>
      <c r="AG91" s="53"/>
      <c r="AH91" s="53"/>
      <c r="AI91" s="53"/>
    </row>
    <row r="92" spans="1:18" s="55" customFormat="1" ht="9" customHeight="1">
      <c r="A92" s="66"/>
      <c r="B92" s="106"/>
      <c r="C92" s="56"/>
      <c r="D92" s="56"/>
      <c r="E92" s="56"/>
      <c r="F92" s="56"/>
      <c r="G92" s="76"/>
      <c r="H92" s="68"/>
      <c r="I92" s="68"/>
      <c r="J92" s="68"/>
      <c r="K92" s="68"/>
      <c r="L92" s="68"/>
      <c r="M92" s="68"/>
      <c r="N92" s="68"/>
      <c r="O92" s="68"/>
      <c r="P92" s="68"/>
      <c r="Q92" s="68"/>
      <c r="R92" s="68"/>
    </row>
    <row r="93" spans="1:35" ht="22.5" customHeight="1">
      <c r="A93" s="66"/>
      <c r="B93" s="140" t="s">
        <v>242</v>
      </c>
      <c r="C93" s="214">
        <f>CMDryCurrentInt/DryNumTotalCurrentInt</f>
        <v>0.0075</v>
      </c>
      <c r="D93" s="214">
        <f>CMDryTargetInt/DryNumTotalTargetInt</f>
        <v>0.0025</v>
      </c>
      <c r="E93" s="128">
        <v>0.01</v>
      </c>
      <c r="F93" s="127"/>
      <c r="G93" s="68"/>
      <c r="H93" s="68"/>
      <c r="I93" s="68"/>
      <c r="J93" s="68"/>
      <c r="K93" s="68"/>
      <c r="L93" s="68"/>
      <c r="M93" s="68"/>
      <c r="N93" s="68"/>
      <c r="O93" s="68"/>
      <c r="P93" s="68"/>
      <c r="Q93" s="68"/>
      <c r="R93" s="68"/>
      <c r="AB93" s="53"/>
      <c r="AC93" s="53"/>
      <c r="AD93" s="53"/>
      <c r="AE93" s="53"/>
      <c r="AF93" s="53"/>
      <c r="AG93" s="53"/>
      <c r="AH93" s="53"/>
      <c r="AI93" s="53"/>
    </row>
    <row r="94" spans="1:18" s="64" customFormat="1" ht="9" customHeight="1">
      <c r="A94" s="154"/>
      <c r="B94" s="162"/>
      <c r="C94" s="159"/>
      <c r="D94" s="159"/>
      <c r="E94" s="163"/>
      <c r="F94" s="163"/>
      <c r="G94" s="161"/>
      <c r="H94" s="72"/>
      <c r="I94" s="72"/>
      <c r="J94" s="72"/>
      <c r="K94" s="72"/>
      <c r="L94" s="72"/>
      <c r="M94" s="72"/>
      <c r="N94" s="72"/>
      <c r="O94" s="72"/>
      <c r="P94" s="72"/>
      <c r="Q94" s="72"/>
      <c r="R94" s="72"/>
    </row>
    <row r="95" spans="1:35" ht="22.5" customHeight="1">
      <c r="A95" s="66"/>
      <c r="B95" s="141" t="s">
        <v>243</v>
      </c>
      <c r="C95" s="214">
        <f>SUM(C69:C89)/CalvedNoTotalCurrent</f>
        <v>0.144</v>
      </c>
      <c r="D95" s="214">
        <f>SUM(D69:D89)/CalvedNoTotalCurrent</f>
        <v>0.076</v>
      </c>
      <c r="E95" s="214">
        <v>0.07</v>
      </c>
      <c r="F95" s="124"/>
      <c r="G95" s="68"/>
      <c r="H95" s="68"/>
      <c r="I95" s="68"/>
      <c r="J95" s="68"/>
      <c r="K95" s="68"/>
      <c r="L95" s="68"/>
      <c r="M95" s="68"/>
      <c r="N95" s="68"/>
      <c r="O95" s="68"/>
      <c r="P95" s="68"/>
      <c r="Q95" s="68"/>
      <c r="R95" s="68"/>
      <c r="AB95" s="53"/>
      <c r="AC95" s="53"/>
      <c r="AD95" s="53"/>
      <c r="AE95" s="53"/>
      <c r="AF95" s="53"/>
      <c r="AG95" s="53"/>
      <c r="AH95" s="53"/>
      <c r="AI95" s="53"/>
    </row>
    <row r="96" spans="1:18" s="64" customFormat="1" ht="9" customHeight="1">
      <c r="A96" s="154"/>
      <c r="B96" s="164"/>
      <c r="C96" s="165"/>
      <c r="D96" s="165"/>
      <c r="E96" s="166"/>
      <c r="F96" s="167"/>
      <c r="G96" s="72"/>
      <c r="H96" s="72"/>
      <c r="I96" s="72"/>
      <c r="J96" s="72"/>
      <c r="K96" s="72"/>
      <c r="L96" s="72"/>
      <c r="M96" s="72"/>
      <c r="N96" s="72"/>
      <c r="O96" s="72"/>
      <c r="P96" s="72"/>
      <c r="Q96" s="72"/>
      <c r="R96" s="72"/>
    </row>
    <row r="97" spans="1:35" ht="22.5" customHeight="1">
      <c r="A97" s="66"/>
      <c r="B97" s="140" t="s">
        <v>197</v>
      </c>
      <c r="C97" s="128">
        <f>SUM(C67:C89)/CalvedNoTotalCurrent</f>
        <v>0.15</v>
      </c>
      <c r="D97" s="128">
        <f>SUM(D67:D89)/CalvedNoTotalTarget</f>
        <v>0.078</v>
      </c>
      <c r="E97" s="128">
        <v>0.08</v>
      </c>
      <c r="F97" s="127"/>
      <c r="G97" s="68"/>
      <c r="H97" s="68"/>
      <c r="I97" s="68"/>
      <c r="J97" s="68"/>
      <c r="K97" s="68"/>
      <c r="L97" s="68"/>
      <c r="M97" s="68"/>
      <c r="N97" s="68"/>
      <c r="O97" s="68"/>
      <c r="P97" s="68"/>
      <c r="Q97" s="68"/>
      <c r="R97" s="68"/>
      <c r="AB97" s="53"/>
      <c r="AC97" s="53"/>
      <c r="AD97" s="53"/>
      <c r="AE97" s="53"/>
      <c r="AF97" s="53"/>
      <c r="AG97" s="53"/>
      <c r="AH97" s="53"/>
      <c r="AI97" s="53"/>
    </row>
    <row r="98" spans="1:35" ht="22.5" customHeight="1" hidden="1">
      <c r="A98" s="66"/>
      <c r="B98" s="142" t="s">
        <v>187</v>
      </c>
      <c r="C98" s="86" t="s">
        <v>147</v>
      </c>
      <c r="D98" s="87" t="s">
        <v>63</v>
      </c>
      <c r="E98" s="77"/>
      <c r="F98" s="88"/>
      <c r="G98" s="68"/>
      <c r="H98" s="68"/>
      <c r="I98" s="68"/>
      <c r="J98" s="68"/>
      <c r="K98" s="68"/>
      <c r="L98" s="68"/>
      <c r="M98" s="68"/>
      <c r="N98" s="68"/>
      <c r="O98" s="68"/>
      <c r="P98" s="68"/>
      <c r="Q98" s="68"/>
      <c r="R98" s="68"/>
      <c r="AB98" s="53"/>
      <c r="AC98" s="53"/>
      <c r="AD98" s="53"/>
      <c r="AE98" s="53"/>
      <c r="AF98" s="53"/>
      <c r="AG98" s="53"/>
      <c r="AH98" s="53"/>
      <c r="AI98" s="53"/>
    </row>
    <row r="99" spans="1:35" ht="22.5" customHeight="1" hidden="1">
      <c r="A99" s="66"/>
      <c r="B99" s="143"/>
      <c r="C99" s="89">
        <v>0.5</v>
      </c>
      <c r="D99" s="90">
        <v>25</v>
      </c>
      <c r="E99" s="77"/>
      <c r="F99" s="77"/>
      <c r="G99" s="68"/>
      <c r="H99" s="68"/>
      <c r="I99" s="68"/>
      <c r="J99" s="68"/>
      <c r="K99" s="68"/>
      <c r="L99" s="68"/>
      <c r="M99" s="68"/>
      <c r="N99" s="68"/>
      <c r="O99" s="68"/>
      <c r="P99" s="68"/>
      <c r="Q99" s="68"/>
      <c r="R99" s="68"/>
      <c r="AB99" s="53"/>
      <c r="AC99" s="53"/>
      <c r="AD99" s="53"/>
      <c r="AE99" s="53"/>
      <c r="AF99" s="53"/>
      <c r="AG99" s="53"/>
      <c r="AH99" s="53"/>
      <c r="AI99" s="53"/>
    </row>
    <row r="100" spans="1:35" ht="22.5" customHeight="1" hidden="1">
      <c r="A100" s="66"/>
      <c r="B100" s="144"/>
      <c r="C100" s="91">
        <v>0.5</v>
      </c>
      <c r="D100" s="90">
        <v>50</v>
      </c>
      <c r="E100" s="77"/>
      <c r="F100" s="77"/>
      <c r="G100" s="68"/>
      <c r="H100" s="68"/>
      <c r="I100" s="68"/>
      <c r="J100" s="68"/>
      <c r="K100" s="68"/>
      <c r="L100" s="68"/>
      <c r="M100" s="68"/>
      <c r="N100" s="68"/>
      <c r="O100" s="68"/>
      <c r="P100" s="68"/>
      <c r="Q100" s="68"/>
      <c r="R100" s="68"/>
      <c r="AB100" s="53"/>
      <c r="AC100" s="53"/>
      <c r="AD100" s="53"/>
      <c r="AE100" s="53"/>
      <c r="AF100" s="53"/>
      <c r="AG100" s="53"/>
      <c r="AH100" s="53"/>
      <c r="AI100" s="53"/>
    </row>
    <row r="101" spans="1:35" ht="22.5" customHeight="1" hidden="1">
      <c r="A101" s="66"/>
      <c r="B101" s="143" t="s">
        <v>127</v>
      </c>
      <c r="C101" s="80"/>
      <c r="D101" s="90">
        <v>18</v>
      </c>
      <c r="E101" s="77"/>
      <c r="F101" s="77"/>
      <c r="G101" s="68"/>
      <c r="H101" s="68"/>
      <c r="I101" s="68"/>
      <c r="J101" s="68"/>
      <c r="K101" s="68"/>
      <c r="L101" s="68"/>
      <c r="M101" s="68"/>
      <c r="N101" s="68"/>
      <c r="O101" s="68"/>
      <c r="P101" s="68"/>
      <c r="Q101" s="68"/>
      <c r="R101" s="68"/>
      <c r="AB101" s="53"/>
      <c r="AC101" s="53"/>
      <c r="AD101" s="53"/>
      <c r="AE101" s="53"/>
      <c r="AF101" s="53"/>
      <c r="AG101" s="53"/>
      <c r="AH101" s="53"/>
      <c r="AI101" s="53"/>
    </row>
    <row r="102" spans="1:35" ht="22.5" customHeight="1" hidden="1">
      <c r="A102" s="66"/>
      <c r="B102" s="143" t="s">
        <v>150</v>
      </c>
      <c r="C102" s="77"/>
      <c r="D102" s="77"/>
      <c r="E102" s="77"/>
      <c r="F102" s="77"/>
      <c r="G102" s="68"/>
      <c r="H102" s="68"/>
      <c r="I102" s="68"/>
      <c r="J102" s="68"/>
      <c r="K102" s="68"/>
      <c r="L102" s="68"/>
      <c r="M102" s="68"/>
      <c r="N102" s="68"/>
      <c r="O102" s="68"/>
      <c r="P102" s="68"/>
      <c r="Q102" s="68"/>
      <c r="R102" s="68"/>
      <c r="AB102" s="53"/>
      <c r="AC102" s="53"/>
      <c r="AD102" s="53"/>
      <c r="AE102" s="53"/>
      <c r="AF102" s="53"/>
      <c r="AG102" s="53"/>
      <c r="AH102" s="53"/>
      <c r="AI102" s="53"/>
    </row>
    <row r="103" spans="1:35" ht="22.5" customHeight="1" hidden="1">
      <c r="A103" s="66"/>
      <c r="B103" s="143" t="s">
        <v>177</v>
      </c>
      <c r="C103" s="77"/>
      <c r="D103" s="77"/>
      <c r="E103" s="77"/>
      <c r="F103" s="77"/>
      <c r="G103" s="68"/>
      <c r="H103" s="68"/>
      <c r="I103" s="68"/>
      <c r="J103" s="68"/>
      <c r="K103" s="68"/>
      <c r="L103" s="68"/>
      <c r="M103" s="68"/>
      <c r="N103" s="68"/>
      <c r="O103" s="68"/>
      <c r="P103" s="68"/>
      <c r="Q103" s="68"/>
      <c r="R103" s="68"/>
      <c r="AB103" s="53"/>
      <c r="AC103" s="53"/>
      <c r="AD103" s="53"/>
      <c r="AE103" s="53"/>
      <c r="AF103" s="53"/>
      <c r="AG103" s="53"/>
      <c r="AH103" s="53"/>
      <c r="AI103" s="53"/>
    </row>
    <row r="104" spans="1:35" ht="22.5" customHeight="1" hidden="1">
      <c r="A104" s="66"/>
      <c r="B104" s="143" t="s">
        <v>176</v>
      </c>
      <c r="C104" s="77"/>
      <c r="D104" s="92">
        <v>0</v>
      </c>
      <c r="E104" s="77"/>
      <c r="F104" s="77"/>
      <c r="G104" s="68"/>
      <c r="H104" s="68"/>
      <c r="I104" s="68"/>
      <c r="J104" s="68"/>
      <c r="K104" s="68"/>
      <c r="L104" s="68"/>
      <c r="M104" s="68"/>
      <c r="N104" s="68"/>
      <c r="O104" s="68"/>
      <c r="P104" s="68"/>
      <c r="Q104" s="68"/>
      <c r="R104" s="68"/>
      <c r="AB104" s="53"/>
      <c r="AC104" s="53"/>
      <c r="AD104" s="53"/>
      <c r="AE104" s="53"/>
      <c r="AF104" s="53"/>
      <c r="AG104" s="53"/>
      <c r="AH104" s="53"/>
      <c r="AI104" s="53"/>
    </row>
    <row r="105" spans="1:35" ht="22.5" customHeight="1" hidden="1">
      <c r="A105" s="66"/>
      <c r="B105" s="143" t="s">
        <v>175</v>
      </c>
      <c r="C105" s="77"/>
      <c r="D105" s="93">
        <v>0</v>
      </c>
      <c r="E105" s="77"/>
      <c r="F105" s="77"/>
      <c r="G105" s="68"/>
      <c r="H105" s="68"/>
      <c r="I105" s="68"/>
      <c r="J105" s="68"/>
      <c r="K105" s="68"/>
      <c r="L105" s="68"/>
      <c r="M105" s="68"/>
      <c r="N105" s="68"/>
      <c r="O105" s="68"/>
      <c r="P105" s="68"/>
      <c r="Q105" s="68"/>
      <c r="R105" s="68"/>
      <c r="AB105" s="53"/>
      <c r="AC105" s="53"/>
      <c r="AD105" s="53"/>
      <c r="AE105" s="53"/>
      <c r="AF105" s="53"/>
      <c r="AG105" s="53"/>
      <c r="AH105" s="53"/>
      <c r="AI105" s="53"/>
    </row>
    <row r="106" spans="1:35" ht="22.5" customHeight="1" hidden="1">
      <c r="A106" s="66"/>
      <c r="B106" s="142"/>
      <c r="C106" s="86" t="s">
        <v>142</v>
      </c>
      <c r="D106" s="86" t="s">
        <v>143</v>
      </c>
      <c r="E106" s="77"/>
      <c r="F106" s="77"/>
      <c r="G106" s="68"/>
      <c r="H106" s="68"/>
      <c r="I106" s="68"/>
      <c r="J106" s="68"/>
      <c r="K106" s="68"/>
      <c r="L106" s="68"/>
      <c r="M106" s="68"/>
      <c r="N106" s="68"/>
      <c r="O106" s="68"/>
      <c r="P106" s="68"/>
      <c r="Q106" s="68"/>
      <c r="R106" s="68"/>
      <c r="AB106" s="53"/>
      <c r="AC106" s="53"/>
      <c r="AD106" s="53"/>
      <c r="AE106" s="53"/>
      <c r="AF106" s="53"/>
      <c r="AG106" s="53"/>
      <c r="AH106" s="53"/>
      <c r="AI106" s="53"/>
    </row>
    <row r="107" spans="1:35" ht="22.5" customHeight="1" hidden="1">
      <c r="A107" s="66"/>
      <c r="B107" s="144" t="s">
        <v>161</v>
      </c>
      <c r="C107" s="83">
        <v>34.53333333333333</v>
      </c>
      <c r="D107" s="83">
        <v>0</v>
      </c>
      <c r="E107" s="77"/>
      <c r="F107" s="82">
        <f>C107-D107</f>
        <v>34.53333333333333</v>
      </c>
      <c r="G107" s="68"/>
      <c r="H107" s="68"/>
      <c r="I107" s="68"/>
      <c r="J107" s="68"/>
      <c r="K107" s="68"/>
      <c r="L107" s="68"/>
      <c r="M107" s="68"/>
      <c r="N107" s="68"/>
      <c r="O107" s="68"/>
      <c r="P107" s="68"/>
      <c r="Q107" s="68"/>
      <c r="R107" s="68"/>
      <c r="AB107" s="53"/>
      <c r="AC107" s="53"/>
      <c r="AD107" s="53"/>
      <c r="AE107" s="53"/>
      <c r="AF107" s="53"/>
      <c r="AG107" s="53"/>
      <c r="AH107" s="53"/>
      <c r="AI107" s="53"/>
    </row>
    <row r="108" spans="1:35" ht="22.5" customHeight="1" hidden="1">
      <c r="A108" s="66"/>
      <c r="B108" s="144" t="s">
        <v>123</v>
      </c>
      <c r="C108" s="83">
        <v>0</v>
      </c>
      <c r="D108" s="83">
        <v>0</v>
      </c>
      <c r="E108" s="77"/>
      <c r="F108" s="82">
        <f>C108-D108</f>
        <v>0</v>
      </c>
      <c r="G108" s="68"/>
      <c r="H108" s="68"/>
      <c r="I108" s="68"/>
      <c r="J108" s="68"/>
      <c r="K108" s="68"/>
      <c r="L108" s="68"/>
      <c r="M108" s="68"/>
      <c r="N108" s="68"/>
      <c r="O108" s="68"/>
      <c r="P108" s="68"/>
      <c r="Q108" s="68"/>
      <c r="R108" s="68"/>
      <c r="AB108" s="53"/>
      <c r="AC108" s="53"/>
      <c r="AD108" s="53"/>
      <c r="AE108" s="53"/>
      <c r="AF108" s="53"/>
      <c r="AG108" s="53"/>
      <c r="AH108" s="53"/>
      <c r="AI108" s="53"/>
    </row>
    <row r="109" spans="1:35" ht="22.5" customHeight="1" hidden="1">
      <c r="A109" s="66"/>
      <c r="B109" s="144" t="s">
        <v>124</v>
      </c>
      <c r="C109" s="83">
        <v>0</v>
      </c>
      <c r="D109" s="83">
        <v>0</v>
      </c>
      <c r="E109" s="77"/>
      <c r="F109" s="82">
        <f>C109-D109</f>
        <v>0</v>
      </c>
      <c r="G109" s="68"/>
      <c r="H109" s="68"/>
      <c r="I109" s="68"/>
      <c r="J109" s="68"/>
      <c r="K109" s="68"/>
      <c r="L109" s="68"/>
      <c r="M109" s="68"/>
      <c r="N109" s="68"/>
      <c r="O109" s="68"/>
      <c r="P109" s="68"/>
      <c r="Q109" s="68"/>
      <c r="R109" s="68"/>
      <c r="AB109" s="53"/>
      <c r="AC109" s="53"/>
      <c r="AD109" s="53"/>
      <c r="AE109" s="53"/>
      <c r="AF109" s="53"/>
      <c r="AG109" s="53"/>
      <c r="AH109" s="53"/>
      <c r="AI109" s="53"/>
    </row>
    <row r="110" spans="1:35" ht="22.5" customHeight="1" hidden="1">
      <c r="A110" s="66"/>
      <c r="B110" s="145" t="s">
        <v>125</v>
      </c>
      <c r="C110" s="82">
        <v>0</v>
      </c>
      <c r="D110" s="82">
        <v>0</v>
      </c>
      <c r="E110" s="77"/>
      <c r="F110" s="82">
        <f>C110-D110</f>
        <v>0</v>
      </c>
      <c r="G110" s="68"/>
      <c r="H110" s="68"/>
      <c r="I110" s="68"/>
      <c r="J110" s="68"/>
      <c r="K110" s="68"/>
      <c r="L110" s="68"/>
      <c r="M110" s="68"/>
      <c r="N110" s="68"/>
      <c r="O110" s="68"/>
      <c r="P110" s="68"/>
      <c r="Q110" s="68"/>
      <c r="R110" s="68"/>
      <c r="AB110" s="53"/>
      <c r="AC110" s="53"/>
      <c r="AD110" s="53"/>
      <c r="AE110" s="53"/>
      <c r="AF110" s="53"/>
      <c r="AG110" s="53"/>
      <c r="AH110" s="53"/>
      <c r="AI110" s="53"/>
    </row>
    <row r="111" spans="1:35" ht="22.5" customHeight="1" hidden="1">
      <c r="A111" s="66"/>
      <c r="B111" s="145" t="s">
        <v>126</v>
      </c>
      <c r="C111" s="82">
        <v>0</v>
      </c>
      <c r="D111" s="82">
        <v>0</v>
      </c>
      <c r="E111" s="77"/>
      <c r="F111" s="82">
        <f>C111-D111</f>
        <v>0</v>
      </c>
      <c r="G111" s="68"/>
      <c r="H111" s="68"/>
      <c r="I111" s="68"/>
      <c r="J111" s="68"/>
      <c r="K111" s="68"/>
      <c r="L111" s="68"/>
      <c r="M111" s="68"/>
      <c r="N111" s="68"/>
      <c r="O111" s="68"/>
      <c r="P111" s="68"/>
      <c r="Q111" s="68"/>
      <c r="R111" s="68"/>
      <c r="AB111" s="53"/>
      <c r="AC111" s="53"/>
      <c r="AD111" s="53"/>
      <c r="AE111" s="53"/>
      <c r="AF111" s="53"/>
      <c r="AG111" s="53"/>
      <c r="AH111" s="53"/>
      <c r="AI111" s="53"/>
    </row>
    <row r="112" spans="1:18" s="64" customFormat="1" ht="9" customHeight="1">
      <c r="A112" s="154"/>
      <c r="B112" s="164"/>
      <c r="C112" s="165"/>
      <c r="D112" s="165"/>
      <c r="E112" s="166"/>
      <c r="F112" s="167"/>
      <c r="G112" s="72"/>
      <c r="H112" s="72"/>
      <c r="I112" s="72"/>
      <c r="J112" s="72"/>
      <c r="K112" s="72"/>
      <c r="L112" s="72"/>
      <c r="M112" s="72"/>
      <c r="N112" s="72"/>
      <c r="O112" s="72"/>
      <c r="P112" s="72"/>
      <c r="Q112" s="72"/>
      <c r="R112" s="72"/>
    </row>
    <row r="113" spans="1:35" ht="40.5" customHeight="1">
      <c r="A113" s="66"/>
      <c r="B113" s="172" t="s">
        <v>238</v>
      </c>
      <c r="C113" s="177" t="s">
        <v>239</v>
      </c>
      <c r="D113" s="177" t="s">
        <v>240</v>
      </c>
      <c r="E113" s="176"/>
      <c r="F113" s="174"/>
      <c r="G113" s="68"/>
      <c r="H113" s="68"/>
      <c r="I113" s="68"/>
      <c r="J113" s="68"/>
      <c r="K113" s="68"/>
      <c r="L113" s="68"/>
      <c r="M113" s="68"/>
      <c r="N113" s="68"/>
      <c r="O113" s="68"/>
      <c r="P113" s="68"/>
      <c r="Q113" s="68"/>
      <c r="R113" s="68"/>
      <c r="AB113" s="53"/>
      <c r="AC113" s="53"/>
      <c r="AD113" s="53"/>
      <c r="AE113" s="53"/>
      <c r="AF113" s="53"/>
      <c r="AG113" s="53"/>
      <c r="AH113" s="53"/>
      <c r="AI113" s="53"/>
    </row>
    <row r="114" spans="1:35" ht="22.5" customHeight="1">
      <c r="A114" s="66"/>
      <c r="B114" s="140"/>
      <c r="C114" s="241">
        <v>0.5</v>
      </c>
      <c r="D114" s="183">
        <v>25</v>
      </c>
      <c r="E114" s="128"/>
      <c r="F114" s="127"/>
      <c r="G114" s="68"/>
      <c r="H114" s="68"/>
      <c r="I114" s="68"/>
      <c r="J114" s="68"/>
      <c r="K114" s="68"/>
      <c r="L114" s="68"/>
      <c r="M114" s="68"/>
      <c r="N114" s="68"/>
      <c r="O114" s="68"/>
      <c r="P114" s="68"/>
      <c r="Q114" s="68"/>
      <c r="R114" s="68"/>
      <c r="AB114" s="53"/>
      <c r="AC114" s="53"/>
      <c r="AD114" s="53"/>
      <c r="AE114" s="53"/>
      <c r="AF114" s="53"/>
      <c r="AG114" s="53"/>
      <c r="AH114" s="53"/>
      <c r="AI114" s="53"/>
    </row>
    <row r="115" spans="1:35" ht="22.5" customHeight="1">
      <c r="A115" s="66"/>
      <c r="B115" s="140"/>
      <c r="C115" s="216">
        <f>IF(ClinicalCosts!B94=29,0,1-C114)</f>
        <v>0.5</v>
      </c>
      <c r="D115" s="183">
        <v>50</v>
      </c>
      <c r="E115" s="128"/>
      <c r="F115" s="127"/>
      <c r="G115" s="68"/>
      <c r="H115" s="68"/>
      <c r="I115" s="68"/>
      <c r="J115" s="68"/>
      <c r="K115" s="68"/>
      <c r="L115" s="68"/>
      <c r="M115" s="68"/>
      <c r="N115" s="68"/>
      <c r="O115" s="68"/>
      <c r="P115" s="68"/>
      <c r="Q115" s="68"/>
      <c r="R115" s="68"/>
      <c r="AB115" s="53"/>
      <c r="AC115" s="53"/>
      <c r="AD115" s="53"/>
      <c r="AE115" s="53"/>
      <c r="AF115" s="53"/>
      <c r="AG115" s="53"/>
      <c r="AH115" s="53"/>
      <c r="AI115" s="53"/>
    </row>
    <row r="116" spans="1:18" s="64" customFormat="1" ht="9" customHeight="1">
      <c r="A116" s="154"/>
      <c r="B116" s="164"/>
      <c r="C116" s="165"/>
      <c r="D116" s="165"/>
      <c r="E116" s="166"/>
      <c r="F116" s="167"/>
      <c r="G116" s="72"/>
      <c r="H116" s="72"/>
      <c r="I116" s="72"/>
      <c r="J116" s="72"/>
      <c r="K116" s="72"/>
      <c r="L116" s="72"/>
      <c r="M116" s="72"/>
      <c r="N116" s="72"/>
      <c r="O116" s="72"/>
      <c r="P116" s="72"/>
      <c r="Q116" s="72"/>
      <c r="R116" s="72"/>
    </row>
    <row r="117" spans="1:35" ht="22.5" customHeight="1">
      <c r="A117" s="66"/>
      <c r="B117" s="140" t="s">
        <v>195</v>
      </c>
      <c r="C117" s="184"/>
      <c r="D117" s="183">
        <v>18</v>
      </c>
      <c r="E117" s="184"/>
      <c r="F117" s="184"/>
      <c r="G117" s="68"/>
      <c r="H117" s="68"/>
      <c r="I117" s="68"/>
      <c r="J117" s="68"/>
      <c r="K117" s="68"/>
      <c r="L117" s="68"/>
      <c r="M117" s="68"/>
      <c r="N117" s="68"/>
      <c r="O117" s="68"/>
      <c r="P117" s="68"/>
      <c r="Q117" s="68"/>
      <c r="R117" s="68"/>
      <c r="AB117" s="53"/>
      <c r="AC117" s="53"/>
      <c r="AD117" s="53"/>
      <c r="AE117" s="53"/>
      <c r="AF117" s="53"/>
      <c r="AG117" s="53"/>
      <c r="AH117" s="53"/>
      <c r="AI117" s="53"/>
    </row>
    <row r="118" spans="1:18" s="64" customFormat="1" ht="9" customHeight="1">
      <c r="A118" s="154"/>
      <c r="B118" s="164"/>
      <c r="C118" s="165"/>
      <c r="D118" s="165"/>
      <c r="E118" s="166"/>
      <c r="F118" s="167"/>
      <c r="G118" s="72"/>
      <c r="H118" s="72"/>
      <c r="I118" s="72"/>
      <c r="J118" s="72"/>
      <c r="K118" s="72"/>
      <c r="L118" s="72"/>
      <c r="M118" s="72"/>
      <c r="N118" s="72"/>
      <c r="O118" s="72"/>
      <c r="P118" s="72"/>
      <c r="Q118" s="72"/>
      <c r="R118" s="72"/>
    </row>
    <row r="119" spans="1:35" ht="22.5" customHeight="1">
      <c r="A119" s="66"/>
      <c r="B119" s="140" t="s">
        <v>150</v>
      </c>
      <c r="C119" s="105">
        <v>0</v>
      </c>
      <c r="D119" s="186"/>
      <c r="E119" s="127"/>
      <c r="F119" s="127"/>
      <c r="G119" s="68"/>
      <c r="H119" s="68"/>
      <c r="I119" s="68"/>
      <c r="J119" s="68"/>
      <c r="K119" s="68"/>
      <c r="L119" s="68"/>
      <c r="M119" s="68"/>
      <c r="N119" s="68"/>
      <c r="O119" s="68"/>
      <c r="P119" s="68"/>
      <c r="Q119" s="68"/>
      <c r="R119" s="68"/>
      <c r="AB119" s="53"/>
      <c r="AC119" s="53"/>
      <c r="AD119" s="53"/>
      <c r="AE119" s="53"/>
      <c r="AF119" s="53"/>
      <c r="AG119" s="53"/>
      <c r="AH119" s="53"/>
      <c r="AI119" s="53"/>
    </row>
    <row r="120" spans="1:18" s="64" customFormat="1" ht="9" customHeight="1">
      <c r="A120" s="154"/>
      <c r="B120" s="164"/>
      <c r="C120" s="165"/>
      <c r="D120" s="165"/>
      <c r="E120" s="166"/>
      <c r="F120" s="167"/>
      <c r="G120" s="72"/>
      <c r="H120" s="72"/>
      <c r="I120" s="72"/>
      <c r="J120" s="72"/>
      <c r="K120" s="72"/>
      <c r="L120" s="72"/>
      <c r="M120" s="72"/>
      <c r="N120" s="72"/>
      <c r="O120" s="72"/>
      <c r="P120" s="72"/>
      <c r="Q120" s="72"/>
      <c r="R120" s="72"/>
    </row>
    <row r="121" spans="1:35" ht="22.5" customHeight="1">
      <c r="A121" s="66"/>
      <c r="B121" s="140" t="s">
        <v>177</v>
      </c>
      <c r="C121" s="105"/>
      <c r="D121" s="186"/>
      <c r="E121" s="127"/>
      <c r="F121" s="127"/>
      <c r="G121" s="68"/>
      <c r="H121" s="68"/>
      <c r="I121" s="68"/>
      <c r="J121" s="68"/>
      <c r="K121" s="68"/>
      <c r="L121" s="68"/>
      <c r="M121" s="68"/>
      <c r="N121" s="68"/>
      <c r="O121" s="68"/>
      <c r="P121" s="68"/>
      <c r="Q121" s="68"/>
      <c r="R121" s="68"/>
      <c r="AB121" s="53"/>
      <c r="AC121" s="53"/>
      <c r="AD121" s="53"/>
      <c r="AE121" s="53"/>
      <c r="AF121" s="53"/>
      <c r="AG121" s="53"/>
      <c r="AH121" s="53"/>
      <c r="AI121" s="53"/>
    </row>
    <row r="122" spans="1:18" s="64" customFormat="1" ht="9" customHeight="1">
      <c r="A122" s="154"/>
      <c r="B122" s="164"/>
      <c r="C122" s="165"/>
      <c r="D122" s="165"/>
      <c r="E122" s="166"/>
      <c r="F122" s="167"/>
      <c r="G122" s="72"/>
      <c r="H122" s="72"/>
      <c r="I122" s="72"/>
      <c r="J122" s="72"/>
      <c r="K122" s="72"/>
      <c r="L122" s="72"/>
      <c r="M122" s="72"/>
      <c r="N122" s="72"/>
      <c r="O122" s="72"/>
      <c r="P122" s="72"/>
      <c r="Q122" s="72"/>
      <c r="R122" s="72"/>
    </row>
    <row r="123" spans="1:35" ht="30" customHeight="1">
      <c r="A123" s="66"/>
      <c r="B123" s="140" t="s">
        <v>287</v>
      </c>
      <c r="C123" s="186"/>
      <c r="D123" s="248">
        <f>Payout*MSPercentDiscardedMilk</f>
        <v>0.585</v>
      </c>
      <c r="E123" s="186"/>
      <c r="F123" s="186"/>
      <c r="G123" s="68"/>
      <c r="H123" s="68"/>
      <c r="I123" s="68"/>
      <c r="J123" s="68"/>
      <c r="K123" s="68"/>
      <c r="L123" s="68"/>
      <c r="M123" s="68"/>
      <c r="N123" s="68"/>
      <c r="O123" s="68"/>
      <c r="P123" s="68"/>
      <c r="Q123" s="68"/>
      <c r="R123" s="68"/>
      <c r="AB123" s="53"/>
      <c r="AC123" s="53"/>
      <c r="AD123" s="53"/>
      <c r="AE123" s="53"/>
      <c r="AF123" s="53"/>
      <c r="AG123" s="53"/>
      <c r="AH123" s="53"/>
      <c r="AI123" s="53"/>
    </row>
    <row r="124" spans="1:18" s="64" customFormat="1" ht="9" customHeight="1">
      <c r="A124" s="154"/>
      <c r="B124" s="164"/>
      <c r="C124" s="165"/>
      <c r="D124" s="165"/>
      <c r="E124" s="166"/>
      <c r="F124" s="167"/>
      <c r="G124" s="72"/>
      <c r="H124" s="72"/>
      <c r="I124" s="72"/>
      <c r="J124" s="72"/>
      <c r="K124" s="72"/>
      <c r="L124" s="72"/>
      <c r="M124" s="72"/>
      <c r="N124" s="72"/>
      <c r="O124" s="72"/>
      <c r="P124" s="72"/>
      <c r="Q124" s="72"/>
      <c r="R124" s="72"/>
    </row>
    <row r="125" spans="1:35" ht="22.5" customHeight="1">
      <c r="A125" s="66"/>
      <c r="B125" s="140" t="s">
        <v>244</v>
      </c>
      <c r="C125" s="186"/>
      <c r="D125" s="185">
        <v>0.15</v>
      </c>
      <c r="E125" s="186"/>
      <c r="F125" s="186"/>
      <c r="G125" s="68"/>
      <c r="H125" s="68"/>
      <c r="I125" s="68"/>
      <c r="J125" s="68"/>
      <c r="K125" s="68"/>
      <c r="L125" s="68"/>
      <c r="M125" s="68"/>
      <c r="N125" s="68"/>
      <c r="O125" s="68"/>
      <c r="P125" s="68"/>
      <c r="Q125" s="68"/>
      <c r="R125" s="68"/>
      <c r="AB125" s="53"/>
      <c r="AC125" s="53"/>
      <c r="AD125" s="53"/>
      <c r="AE125" s="53"/>
      <c r="AF125" s="53"/>
      <c r="AG125" s="53"/>
      <c r="AH125" s="53"/>
      <c r="AI125" s="53"/>
    </row>
    <row r="126" spans="1:18" s="64" customFormat="1" ht="9" customHeight="1">
      <c r="A126" s="154"/>
      <c r="B126" s="164"/>
      <c r="C126" s="165"/>
      <c r="D126" s="165"/>
      <c r="E126" s="166"/>
      <c r="F126" s="167"/>
      <c r="G126" s="72"/>
      <c r="H126" s="72"/>
      <c r="I126" s="72"/>
      <c r="J126" s="72"/>
      <c r="K126" s="72"/>
      <c r="L126" s="72"/>
      <c r="M126" s="72"/>
      <c r="N126" s="72"/>
      <c r="O126" s="72"/>
      <c r="P126" s="72"/>
      <c r="Q126" s="72"/>
      <c r="R126" s="72"/>
    </row>
    <row r="127" spans="1:35" ht="22.5" customHeight="1">
      <c r="A127" s="66"/>
      <c r="B127" s="140" t="s">
        <v>245</v>
      </c>
      <c r="C127" s="223">
        <f>IF(MilkDiscardAdv=2,MilkDiscardTotalBaselineAdv*Payout,IF(AND(MilkDiscardAdv=1,ABMilkFedCalvesAdv=1),MilkDiscardTotalBaselineAdv*Payout*(SUM(C81:C89)/CMMilkingCurrentAdv),MilkDiscardTotalBaselineAdv*(Payout-ClinicalCosts!$B$110)))</f>
        <v>390.0946574508782</v>
      </c>
      <c r="D127" s="223">
        <f>IF(MilkDiscardAdv=2,MilkDiscardTotalTargetAdv*Payout,IF(AND(MilkDiscardAdv=1,ABMilkFedCalvesAdv=1),MilkDiscardTotalTargetAdv*Payout*(SUM(D81:D89)/CMMilkingTargetAdv),MilkDiscardTotalTargetAdv*(Payout-ClinicalCosts!$B$110)))</f>
        <v>195.40621653900007</v>
      </c>
      <c r="E127" s="127"/>
      <c r="F127" s="262">
        <f>C127-D127</f>
        <v>194.6884409118781</v>
      </c>
      <c r="G127" s="68"/>
      <c r="H127" s="68"/>
      <c r="I127" s="68"/>
      <c r="J127" s="68"/>
      <c r="K127" s="68"/>
      <c r="L127" s="68"/>
      <c r="M127" s="68"/>
      <c r="N127" s="68"/>
      <c r="O127" s="68"/>
      <c r="P127" s="68"/>
      <c r="Q127" s="68"/>
      <c r="R127" s="68"/>
      <c r="AB127" s="53"/>
      <c r="AC127" s="53"/>
      <c r="AD127" s="53"/>
      <c r="AE127" s="53"/>
      <c r="AF127" s="53"/>
      <c r="AG127" s="53"/>
      <c r="AH127" s="53"/>
      <c r="AI127" s="53"/>
    </row>
    <row r="128" spans="1:18" s="64" customFormat="1" ht="9" customHeight="1">
      <c r="A128" s="154"/>
      <c r="B128" s="164"/>
      <c r="C128" s="165"/>
      <c r="D128" s="165"/>
      <c r="E128" s="166"/>
      <c r="F128" s="263"/>
      <c r="G128" s="72"/>
      <c r="H128" s="72"/>
      <c r="I128" s="72"/>
      <c r="J128" s="72"/>
      <c r="K128" s="72"/>
      <c r="L128" s="72"/>
      <c r="M128" s="72"/>
      <c r="N128" s="72"/>
      <c r="O128" s="72"/>
      <c r="P128" s="72"/>
      <c r="Q128" s="72"/>
      <c r="R128" s="72"/>
    </row>
    <row r="129" spans="1:35" ht="22.5" customHeight="1">
      <c r="A129" s="66"/>
      <c r="B129" s="140" t="s">
        <v>246</v>
      </c>
      <c r="C129" s="223">
        <f>CMDryMilkCurrentAdv*((CMTreatProd1PercentAdv*CMTreatProd1CostAdv)+(CMTreatProd2PercentAdv*CMTreatProd2CostAdv))</f>
        <v>2812.5</v>
      </c>
      <c r="D129" s="223">
        <f>CMDryMilkTargetAdv*((CMTreatProd1PercentAdv*CMTreatProd1CostAdv)+(CMTreatProd2PercentAdv*CMTreatProd2CostAdv))</f>
        <v>1462.5</v>
      </c>
      <c r="E129" s="127"/>
      <c r="F129" s="262">
        <f>C129-D129</f>
        <v>1350</v>
      </c>
      <c r="G129" s="68"/>
      <c r="H129" s="68"/>
      <c r="I129" s="68"/>
      <c r="J129" s="68"/>
      <c r="K129" s="68"/>
      <c r="L129" s="68"/>
      <c r="M129" s="68"/>
      <c r="N129" s="68"/>
      <c r="O129" s="68"/>
      <c r="P129" s="68"/>
      <c r="Q129" s="68"/>
      <c r="R129" s="68"/>
      <c r="AB129" s="53"/>
      <c r="AC129" s="53"/>
      <c r="AD129" s="53"/>
      <c r="AE129" s="53"/>
      <c r="AF129" s="53"/>
      <c r="AG129" s="53"/>
      <c r="AH129" s="53"/>
      <c r="AI129" s="53"/>
    </row>
    <row r="130" spans="1:18" s="64" customFormat="1" ht="9" customHeight="1">
      <c r="A130" s="154"/>
      <c r="B130" s="164"/>
      <c r="C130" s="165"/>
      <c r="D130" s="165"/>
      <c r="E130" s="166"/>
      <c r="F130" s="263"/>
      <c r="G130" s="72"/>
      <c r="H130" s="72"/>
      <c r="I130" s="72"/>
      <c r="J130" s="72"/>
      <c r="K130" s="72"/>
      <c r="L130" s="72"/>
      <c r="M130" s="72"/>
      <c r="N130" s="72"/>
      <c r="O130" s="72"/>
      <c r="P130" s="72"/>
      <c r="Q130" s="72"/>
      <c r="R130" s="72"/>
    </row>
    <row r="131" spans="1:35" ht="22.5" customHeight="1">
      <c r="A131" s="66"/>
      <c r="B131" s="140" t="s">
        <v>247</v>
      </c>
      <c r="C131" s="223">
        <f>ClinicalCostsInt!K25*Payout</f>
        <v>2396.0983568075117</v>
      </c>
      <c r="D131" s="223">
        <f>ClinicalCostsInt!L25*Payout</f>
        <v>1261.6850938967139</v>
      </c>
      <c r="E131" s="127"/>
      <c r="F131" s="262">
        <f>C131-D131</f>
        <v>1134.4132629107978</v>
      </c>
      <c r="G131" s="68"/>
      <c r="H131" s="68"/>
      <c r="I131" s="68"/>
      <c r="J131" s="68"/>
      <c r="K131" s="68"/>
      <c r="L131" s="68"/>
      <c r="M131" s="68"/>
      <c r="N131" s="68"/>
      <c r="O131" s="68"/>
      <c r="P131" s="68"/>
      <c r="Q131" s="68"/>
      <c r="R131" s="68"/>
      <c r="AB131" s="53"/>
      <c r="AC131" s="53"/>
      <c r="AD131" s="53"/>
      <c r="AE131" s="53"/>
      <c r="AF131" s="53"/>
      <c r="AG131" s="53"/>
      <c r="AH131" s="53"/>
      <c r="AI131" s="53"/>
    </row>
    <row r="132" spans="1:18" s="64" customFormat="1" ht="9" customHeight="1">
      <c r="A132" s="154"/>
      <c r="B132" s="164"/>
      <c r="C132" s="165"/>
      <c r="D132" s="165"/>
      <c r="E132" s="166"/>
      <c r="F132" s="263"/>
      <c r="G132" s="72"/>
      <c r="H132" s="72"/>
      <c r="I132" s="72"/>
      <c r="J132" s="72"/>
      <c r="K132" s="72"/>
      <c r="L132" s="72"/>
      <c r="M132" s="72"/>
      <c r="N132" s="72"/>
      <c r="O132" s="72"/>
      <c r="P132" s="72"/>
      <c r="Q132" s="72"/>
      <c r="R132" s="72"/>
    </row>
    <row r="133" spans="1:35" ht="22.5" customHeight="1">
      <c r="A133" s="66"/>
      <c r="B133" s="140" t="s">
        <v>265</v>
      </c>
      <c r="C133" s="223">
        <f>ClinicalCosts!B122</f>
        <v>2664.5</v>
      </c>
      <c r="D133" s="223">
        <f>ClinicalCosts!C122</f>
        <v>1332.25</v>
      </c>
      <c r="E133" s="127"/>
      <c r="F133" s="262">
        <f>C133-D133</f>
        <v>1332.25</v>
      </c>
      <c r="G133" s="68"/>
      <c r="H133" s="68"/>
      <c r="I133" s="68"/>
      <c r="J133" s="68"/>
      <c r="K133" s="68"/>
      <c r="L133" s="68"/>
      <c r="M133" s="68"/>
      <c r="N133" s="68"/>
      <c r="O133" s="68"/>
      <c r="P133" s="68"/>
      <c r="Q133" s="68"/>
      <c r="R133" s="68"/>
      <c r="AB133" s="53"/>
      <c r="AC133" s="53"/>
      <c r="AD133" s="53"/>
      <c r="AE133" s="53"/>
      <c r="AF133" s="53"/>
      <c r="AG133" s="53"/>
      <c r="AH133" s="53"/>
      <c r="AI133" s="53"/>
    </row>
    <row r="134" spans="1:18" s="64" customFormat="1" ht="9" customHeight="1">
      <c r="A134" s="154"/>
      <c r="B134" s="164"/>
      <c r="C134" s="165"/>
      <c r="D134" s="165"/>
      <c r="E134" s="166"/>
      <c r="F134" s="263"/>
      <c r="G134" s="72"/>
      <c r="H134" s="72"/>
      <c r="I134" s="72"/>
      <c r="J134" s="72"/>
      <c r="K134" s="72"/>
      <c r="L134" s="72"/>
      <c r="M134" s="72"/>
      <c r="N134" s="72"/>
      <c r="O134" s="72"/>
      <c r="P134" s="72"/>
      <c r="Q134" s="72"/>
      <c r="R134" s="72"/>
    </row>
    <row r="135" spans="1:35" ht="22.5" customHeight="1">
      <c r="A135" s="66"/>
      <c r="B135" s="140" t="s">
        <v>248</v>
      </c>
      <c r="C135" s="223">
        <f>CMDryMilkCurrentAdv*LabourCostAdv*TimePerCaseCM</f>
        <v>337.5</v>
      </c>
      <c r="D135" s="223">
        <f>CMDryMilkTargetAdv*LabourCostAdv*TimePerCaseCM</f>
        <v>175.5</v>
      </c>
      <c r="E135" s="127"/>
      <c r="F135" s="262">
        <f>C135-D135</f>
        <v>162</v>
      </c>
      <c r="G135" s="68"/>
      <c r="H135" s="68"/>
      <c r="I135" s="68"/>
      <c r="J135" s="68"/>
      <c r="K135" s="68"/>
      <c r="L135" s="68"/>
      <c r="M135" s="68"/>
      <c r="N135" s="68"/>
      <c r="O135" s="68"/>
      <c r="P135" s="68"/>
      <c r="Q135" s="68"/>
      <c r="R135" s="68"/>
      <c r="AB135" s="53"/>
      <c r="AC135" s="53"/>
      <c r="AD135" s="53"/>
      <c r="AE135" s="53"/>
      <c r="AF135" s="53"/>
      <c r="AG135" s="53"/>
      <c r="AH135" s="53"/>
      <c r="AI135" s="53"/>
    </row>
    <row r="136" spans="1:18" s="55" customFormat="1" ht="9" customHeight="1">
      <c r="A136" s="66"/>
      <c r="B136" s="146"/>
      <c r="C136" s="120"/>
      <c r="D136" s="120"/>
      <c r="E136" s="119"/>
      <c r="F136" s="120"/>
      <c r="G136" s="68"/>
      <c r="H136" s="68"/>
      <c r="I136" s="68"/>
      <c r="J136" s="68"/>
      <c r="K136" s="68"/>
      <c r="L136" s="68"/>
      <c r="M136" s="68"/>
      <c r="N136" s="68"/>
      <c r="O136" s="68"/>
      <c r="P136" s="68"/>
      <c r="Q136" s="68"/>
      <c r="R136" s="68"/>
    </row>
    <row r="137" spans="1:35" ht="22.5" customHeight="1">
      <c r="A137" s="66"/>
      <c r="B137" s="178" t="s">
        <v>11</v>
      </c>
      <c r="C137" s="260">
        <f>SUM(C127:C135)</f>
        <v>8600.69301425839</v>
      </c>
      <c r="D137" s="260">
        <f>SUM(D127:D135)</f>
        <v>4427.341310435714</v>
      </c>
      <c r="E137" s="189"/>
      <c r="F137" s="260">
        <f>IF(SUM(F127:F135)&lt;0,FLOOR(SUM(F127:F135),-100),FLOOR(SUM(F127:F135),100))</f>
        <v>4100</v>
      </c>
      <c r="G137" s="68"/>
      <c r="H137" s="68"/>
      <c r="I137" s="68"/>
      <c r="J137" s="68"/>
      <c r="K137" s="68"/>
      <c r="L137" s="68"/>
      <c r="M137" s="68"/>
      <c r="N137" s="68"/>
      <c r="O137" s="68"/>
      <c r="P137" s="68"/>
      <c r="Q137" s="68"/>
      <c r="R137" s="68"/>
      <c r="AB137" s="53"/>
      <c r="AC137" s="53"/>
      <c r="AD137" s="53"/>
      <c r="AE137" s="53"/>
      <c r="AF137" s="53"/>
      <c r="AG137" s="53"/>
      <c r="AH137" s="53"/>
      <c r="AI137" s="53"/>
    </row>
    <row r="138" spans="1:18" s="55" customFormat="1" ht="9" customHeight="1">
      <c r="A138" s="66"/>
      <c r="B138" s="131"/>
      <c r="C138" s="56"/>
      <c r="D138" s="122"/>
      <c r="E138" s="122"/>
      <c r="F138" s="122"/>
      <c r="G138" s="76"/>
      <c r="H138" s="68"/>
      <c r="I138" s="68"/>
      <c r="J138" s="68"/>
      <c r="K138" s="68"/>
      <c r="L138" s="68"/>
      <c r="M138" s="68"/>
      <c r="N138" s="68"/>
      <c r="O138" s="68"/>
      <c r="P138" s="68"/>
      <c r="Q138" s="68"/>
      <c r="R138" s="68"/>
    </row>
    <row r="139" spans="1:18" s="55" customFormat="1" ht="30" customHeight="1">
      <c r="A139" s="66"/>
      <c r="B139" s="273" t="s">
        <v>133</v>
      </c>
      <c r="C139" s="273"/>
      <c r="D139" s="273"/>
      <c r="E139" s="273"/>
      <c r="F139" s="274"/>
      <c r="G139" s="76"/>
      <c r="H139" s="68"/>
      <c r="I139" s="68"/>
      <c r="J139" s="68"/>
      <c r="K139" s="68"/>
      <c r="L139" s="68"/>
      <c r="M139" s="68"/>
      <c r="N139" s="68"/>
      <c r="O139" s="68"/>
      <c r="P139" s="68"/>
      <c r="Q139" s="68"/>
      <c r="R139" s="68"/>
    </row>
    <row r="140" spans="1:18" s="55" customFormat="1" ht="9" customHeight="1">
      <c r="A140" s="66"/>
      <c r="B140" s="131"/>
      <c r="C140" s="56"/>
      <c r="D140" s="122"/>
      <c r="E140" s="122"/>
      <c r="F140" s="122"/>
      <c r="G140" s="76"/>
      <c r="H140" s="68"/>
      <c r="I140" s="68"/>
      <c r="J140" s="68"/>
      <c r="K140" s="68"/>
      <c r="L140" s="68"/>
      <c r="M140" s="68"/>
      <c r="N140" s="68"/>
      <c r="O140" s="68"/>
      <c r="P140" s="68"/>
      <c r="Q140" s="68"/>
      <c r="R140" s="68"/>
    </row>
    <row r="141" spans="1:35" ht="30" customHeight="1">
      <c r="A141" s="66"/>
      <c r="B141" s="140" t="s">
        <v>205</v>
      </c>
      <c r="C141" s="229">
        <f>CullMastNumCurrentBas</f>
        <v>10</v>
      </c>
      <c r="D141" s="230">
        <f>CullMastNumTargetBas</f>
        <v>5</v>
      </c>
      <c r="E141" s="134"/>
      <c r="F141" s="134"/>
      <c r="G141" s="68"/>
      <c r="H141" s="68"/>
      <c r="I141" s="68"/>
      <c r="J141" s="68"/>
      <c r="K141" s="68"/>
      <c r="L141" s="68"/>
      <c r="M141" s="68"/>
      <c r="N141" s="68"/>
      <c r="O141" s="68"/>
      <c r="P141" s="68"/>
      <c r="Q141" s="68"/>
      <c r="R141" s="68"/>
      <c r="AB141" s="53"/>
      <c r="AC141" s="53"/>
      <c r="AD141" s="53"/>
      <c r="AE141" s="53"/>
      <c r="AF141" s="53"/>
      <c r="AG141" s="53"/>
      <c r="AH141" s="53"/>
      <c r="AI141" s="53"/>
    </row>
    <row r="142" spans="1:35" ht="22.5" customHeight="1" hidden="1">
      <c r="A142" s="66"/>
      <c r="B142" s="142" t="s">
        <v>144</v>
      </c>
      <c r="C142" s="94"/>
      <c r="D142" s="94"/>
      <c r="E142" s="133"/>
      <c r="F142" s="80"/>
      <c r="G142" s="68"/>
      <c r="H142" s="68"/>
      <c r="I142" s="68"/>
      <c r="J142" s="68"/>
      <c r="K142" s="68"/>
      <c r="L142" s="68"/>
      <c r="M142" s="68"/>
      <c r="N142" s="68"/>
      <c r="O142" s="68"/>
      <c r="P142" s="68"/>
      <c r="Q142" s="68"/>
      <c r="R142" s="68"/>
      <c r="AB142" s="53"/>
      <c r="AC142" s="53"/>
      <c r="AD142" s="53"/>
      <c r="AE142" s="53"/>
      <c r="AF142" s="53"/>
      <c r="AG142" s="53"/>
      <c r="AH142" s="53"/>
      <c r="AI142" s="53"/>
    </row>
    <row r="143" spans="1:18" s="64" customFormat="1" ht="9" customHeight="1">
      <c r="A143" s="154"/>
      <c r="B143" s="164"/>
      <c r="C143" s="165"/>
      <c r="D143" s="165"/>
      <c r="E143" s="166"/>
      <c r="F143" s="167"/>
      <c r="G143" s="72"/>
      <c r="H143" s="72"/>
      <c r="I143" s="72"/>
      <c r="J143" s="72"/>
      <c r="K143" s="72"/>
      <c r="L143" s="72"/>
      <c r="M143" s="72"/>
      <c r="N143" s="72"/>
      <c r="O143" s="72"/>
      <c r="P143" s="72"/>
      <c r="Q143" s="72"/>
      <c r="R143" s="72"/>
    </row>
    <row r="144" spans="1:35" ht="30" customHeight="1">
      <c r="A144" s="66"/>
      <c r="B144" s="140" t="s">
        <v>144</v>
      </c>
      <c r="C144" s="105">
        <v>2</v>
      </c>
      <c r="D144" s="130">
        <v>1</v>
      </c>
      <c r="E144" s="134"/>
      <c r="F144" s="134"/>
      <c r="G144" s="68"/>
      <c r="H144" s="68"/>
      <c r="I144" s="68"/>
      <c r="J144" s="68"/>
      <c r="K144" s="68"/>
      <c r="L144" s="68"/>
      <c r="M144" s="68"/>
      <c r="N144" s="68"/>
      <c r="O144" s="68"/>
      <c r="P144" s="68"/>
      <c r="Q144" s="68"/>
      <c r="R144" s="68"/>
      <c r="AB144" s="53"/>
      <c r="AC144" s="53"/>
      <c r="AD144" s="53"/>
      <c r="AE144" s="53"/>
      <c r="AF144" s="53"/>
      <c r="AG144" s="53"/>
      <c r="AH144" s="53"/>
      <c r="AI144" s="53"/>
    </row>
    <row r="145" spans="1:18" s="64" customFormat="1" ht="9" customHeight="1">
      <c r="A145" s="154"/>
      <c r="B145" s="164"/>
      <c r="C145" s="165"/>
      <c r="D145" s="165"/>
      <c r="E145" s="166"/>
      <c r="F145" s="167"/>
      <c r="G145" s="72"/>
      <c r="H145" s="72"/>
      <c r="I145" s="72"/>
      <c r="J145" s="72"/>
      <c r="K145" s="72"/>
      <c r="L145" s="72"/>
      <c r="M145" s="72"/>
      <c r="N145" s="72"/>
      <c r="O145" s="72"/>
      <c r="P145" s="72"/>
      <c r="Q145" s="72"/>
      <c r="R145" s="72"/>
    </row>
    <row r="146" spans="1:35" ht="30" customHeight="1">
      <c r="A146" s="66"/>
      <c r="B146" s="140" t="s">
        <v>206</v>
      </c>
      <c r="C146" s="229">
        <f>DiedMastNumCurrentBas</f>
        <v>2</v>
      </c>
      <c r="D146" s="230">
        <f>DiedMastNumTargetBas</f>
        <v>1</v>
      </c>
      <c r="E146" s="134"/>
      <c r="F146" s="134"/>
      <c r="G146" s="68"/>
      <c r="H146" s="68"/>
      <c r="I146" s="68"/>
      <c r="J146" s="68"/>
      <c r="K146" s="68"/>
      <c r="L146" s="68"/>
      <c r="M146" s="68"/>
      <c r="N146" s="68"/>
      <c r="O146" s="68"/>
      <c r="P146" s="68"/>
      <c r="Q146" s="68"/>
      <c r="R146" s="68"/>
      <c r="AB146" s="53"/>
      <c r="AC146" s="53"/>
      <c r="AD146" s="53"/>
      <c r="AE146" s="53"/>
      <c r="AF146" s="53"/>
      <c r="AG146" s="53"/>
      <c r="AH146" s="53"/>
      <c r="AI146" s="53"/>
    </row>
    <row r="147" spans="1:18" s="64" customFormat="1" ht="9" customHeight="1">
      <c r="A147" s="154"/>
      <c r="B147" s="168"/>
      <c r="C147" s="169"/>
      <c r="D147" s="170"/>
      <c r="E147" s="170"/>
      <c r="F147" s="169"/>
      <c r="G147" s="72"/>
      <c r="H147" s="72"/>
      <c r="I147" s="72"/>
      <c r="J147" s="72"/>
      <c r="K147" s="72"/>
      <c r="L147" s="72"/>
      <c r="M147" s="72"/>
      <c r="N147" s="72"/>
      <c r="O147" s="72"/>
      <c r="P147" s="72"/>
      <c r="Q147" s="72"/>
      <c r="R147" s="72"/>
    </row>
    <row r="148" spans="1:35" ht="22.5" customHeight="1">
      <c r="A148" s="66"/>
      <c r="B148" s="147" t="s">
        <v>61</v>
      </c>
      <c r="C148" s="134"/>
      <c r="D148" s="243">
        <v>1500</v>
      </c>
      <c r="E148" s="134"/>
      <c r="F148" s="134"/>
      <c r="G148" s="68"/>
      <c r="H148" s="68"/>
      <c r="I148" s="68"/>
      <c r="J148" s="68"/>
      <c r="K148" s="68"/>
      <c r="L148" s="68"/>
      <c r="M148" s="68"/>
      <c r="N148" s="68"/>
      <c r="O148" s="68"/>
      <c r="P148" s="68"/>
      <c r="Q148" s="68"/>
      <c r="R148" s="68"/>
      <c r="AB148" s="53"/>
      <c r="AC148" s="53"/>
      <c r="AD148" s="53"/>
      <c r="AE148" s="53"/>
      <c r="AF148" s="53"/>
      <c r="AG148" s="53"/>
      <c r="AH148" s="53"/>
      <c r="AI148" s="53"/>
    </row>
    <row r="149" spans="1:18" s="64" customFormat="1" ht="9" customHeight="1">
      <c r="A149" s="154"/>
      <c r="B149" s="168"/>
      <c r="C149" s="169"/>
      <c r="D149" s="170"/>
      <c r="E149" s="170"/>
      <c r="F149" s="169"/>
      <c r="G149" s="72"/>
      <c r="H149" s="72"/>
      <c r="I149" s="72"/>
      <c r="J149" s="72"/>
      <c r="K149" s="72"/>
      <c r="L149" s="72"/>
      <c r="M149" s="72"/>
      <c r="N149" s="72"/>
      <c r="O149" s="72"/>
      <c r="P149" s="72"/>
      <c r="Q149" s="72"/>
      <c r="R149" s="72"/>
    </row>
    <row r="150" spans="1:35" ht="22.5" customHeight="1">
      <c r="A150" s="66"/>
      <c r="B150" s="147" t="s">
        <v>9</v>
      </c>
      <c r="C150" s="134"/>
      <c r="D150" s="243">
        <v>600</v>
      </c>
      <c r="E150" s="134"/>
      <c r="F150" s="134"/>
      <c r="G150" s="68"/>
      <c r="H150" s="68"/>
      <c r="I150" s="68"/>
      <c r="J150" s="68"/>
      <c r="K150" s="68"/>
      <c r="L150" s="68"/>
      <c r="M150" s="68"/>
      <c r="N150" s="68"/>
      <c r="O150" s="68"/>
      <c r="P150" s="68"/>
      <c r="Q150" s="68"/>
      <c r="R150" s="68"/>
      <c r="AB150" s="53"/>
      <c r="AC150" s="53"/>
      <c r="AD150" s="53"/>
      <c r="AE150" s="53"/>
      <c r="AF150" s="53"/>
      <c r="AG150" s="53"/>
      <c r="AH150" s="53"/>
      <c r="AI150" s="53"/>
    </row>
    <row r="151" spans="1:18" s="64" customFormat="1" ht="9" customHeight="1">
      <c r="A151" s="154"/>
      <c r="B151" s="168"/>
      <c r="C151" s="169"/>
      <c r="D151" s="170"/>
      <c r="E151" s="170"/>
      <c r="F151" s="169"/>
      <c r="G151" s="72"/>
      <c r="H151" s="72"/>
      <c r="I151" s="72"/>
      <c r="J151" s="72"/>
      <c r="K151" s="72"/>
      <c r="L151" s="72"/>
      <c r="M151" s="72"/>
      <c r="N151" s="72"/>
      <c r="O151" s="72"/>
      <c r="P151" s="72"/>
      <c r="Q151" s="72"/>
      <c r="R151" s="72"/>
    </row>
    <row r="152" spans="1:35" ht="22.5" customHeight="1">
      <c r="A152" s="66"/>
      <c r="B152" s="147" t="s">
        <v>156</v>
      </c>
      <c r="C152" s="234">
        <f>(CullMastNumCurrentAdv+DiedMastNumCurrentAdv)/CalvedNoTotalCurrent</f>
        <v>0.024</v>
      </c>
      <c r="D152" s="234">
        <f>(CullMastNumTargetAdv+DiedMastNumTargetAdv)/CalvedNoTotalTarget</f>
        <v>0.012</v>
      </c>
      <c r="E152" s="134"/>
      <c r="F152" s="134"/>
      <c r="G152" s="68"/>
      <c r="H152" s="68"/>
      <c r="I152" s="68"/>
      <c r="J152" s="68"/>
      <c r="K152" s="68"/>
      <c r="L152" s="68"/>
      <c r="M152" s="68"/>
      <c r="N152" s="68"/>
      <c r="O152" s="68"/>
      <c r="P152" s="68"/>
      <c r="Q152" s="68"/>
      <c r="R152" s="68"/>
      <c r="AB152" s="53"/>
      <c r="AC152" s="53"/>
      <c r="AD152" s="53"/>
      <c r="AE152" s="53"/>
      <c r="AF152" s="53"/>
      <c r="AG152" s="53"/>
      <c r="AH152" s="53"/>
      <c r="AI152" s="53"/>
    </row>
    <row r="153" spans="1:18" s="64" customFormat="1" ht="9" customHeight="1">
      <c r="A153" s="154"/>
      <c r="B153" s="168"/>
      <c r="C153" s="169"/>
      <c r="D153" s="170"/>
      <c r="E153" s="170"/>
      <c r="F153" s="169"/>
      <c r="G153" s="72"/>
      <c r="H153" s="72"/>
      <c r="I153" s="72"/>
      <c r="J153" s="72"/>
      <c r="K153" s="72"/>
      <c r="L153" s="72"/>
      <c r="M153" s="72"/>
      <c r="N153" s="72"/>
      <c r="O153" s="72"/>
      <c r="P153" s="72"/>
      <c r="Q153" s="72"/>
      <c r="R153" s="72"/>
    </row>
    <row r="154" spans="1:35" ht="22.5" customHeight="1">
      <c r="A154" s="66"/>
      <c r="B154" s="147" t="s">
        <v>249</v>
      </c>
      <c r="C154" s="223">
        <f>CullMastNumCurrentAdv*(ReplacementCostAdv-CullValueAdv)+(DiedMastNumCurrentAdv*ReplacementCostAdv)</f>
        <v>12000</v>
      </c>
      <c r="D154" s="223">
        <f>CullMastNumTargetAdv*(ReplacementCostAdv-CullValueAdv)+(DiedMastNumTargetAdv*ReplacementCostAdv)</f>
        <v>6000</v>
      </c>
      <c r="E154" s="134"/>
      <c r="F154" s="223">
        <f>C154-D154</f>
        <v>6000</v>
      </c>
      <c r="G154" s="68"/>
      <c r="H154" s="68"/>
      <c r="I154" s="68"/>
      <c r="J154" s="68"/>
      <c r="K154" s="68"/>
      <c r="L154" s="68"/>
      <c r="M154" s="68"/>
      <c r="N154" s="68"/>
      <c r="O154" s="68"/>
      <c r="P154" s="68"/>
      <c r="Q154" s="68"/>
      <c r="R154" s="68"/>
      <c r="AB154" s="53"/>
      <c r="AC154" s="53"/>
      <c r="AD154" s="53"/>
      <c r="AE154" s="53"/>
      <c r="AF154" s="53"/>
      <c r="AG154" s="53"/>
      <c r="AH154" s="53"/>
      <c r="AI154" s="53"/>
    </row>
    <row r="155" spans="1:18" s="64" customFormat="1" ht="9" customHeight="1">
      <c r="A155" s="154"/>
      <c r="B155" s="168"/>
      <c r="C155" s="169"/>
      <c r="D155" s="170"/>
      <c r="E155" s="170"/>
      <c r="F155" s="169"/>
      <c r="G155" s="72"/>
      <c r="H155" s="72"/>
      <c r="I155" s="72"/>
      <c r="J155" s="72"/>
      <c r="K155" s="72"/>
      <c r="L155" s="72"/>
      <c r="M155" s="72"/>
      <c r="N155" s="72"/>
      <c r="O155" s="72"/>
      <c r="P155" s="72"/>
      <c r="Q155" s="72"/>
      <c r="R155" s="72"/>
    </row>
    <row r="156" spans="1:35" ht="22.5" customHeight="1">
      <c r="A156" s="66"/>
      <c r="B156" s="147" t="s">
        <v>250</v>
      </c>
      <c r="C156" s="223">
        <f>CullingCosts!B17</f>
        <v>5187</v>
      </c>
      <c r="D156" s="223">
        <f>CullingCosts!C17</f>
        <v>2593.5</v>
      </c>
      <c r="E156" s="134"/>
      <c r="F156" s="223">
        <f>C156-D156</f>
        <v>2593.5</v>
      </c>
      <c r="G156" s="68"/>
      <c r="H156" s="68"/>
      <c r="I156" s="68"/>
      <c r="J156" s="68"/>
      <c r="K156" s="68"/>
      <c r="L156" s="68"/>
      <c r="M156" s="68"/>
      <c r="N156" s="68"/>
      <c r="O156" s="68"/>
      <c r="P156" s="68"/>
      <c r="Q156" s="68"/>
      <c r="R156" s="68"/>
      <c r="AB156" s="53"/>
      <c r="AC156" s="53"/>
      <c r="AD156" s="53"/>
      <c r="AE156" s="53"/>
      <c r="AF156" s="53"/>
      <c r="AG156" s="53"/>
      <c r="AH156" s="53"/>
      <c r="AI156" s="53"/>
    </row>
    <row r="157" spans="1:18" s="64" customFormat="1" ht="9" customHeight="1">
      <c r="A157" s="154"/>
      <c r="B157" s="168"/>
      <c r="C157" s="169"/>
      <c r="D157" s="170"/>
      <c r="E157" s="170"/>
      <c r="F157" s="169"/>
      <c r="G157" s="72"/>
      <c r="H157" s="72"/>
      <c r="I157" s="72"/>
      <c r="J157" s="72"/>
      <c r="K157" s="72"/>
      <c r="L157" s="72"/>
      <c r="M157" s="72"/>
      <c r="N157" s="72"/>
      <c r="O157" s="72"/>
      <c r="P157" s="72"/>
      <c r="Q157" s="72"/>
      <c r="R157" s="72"/>
    </row>
    <row r="158" spans="1:35" ht="22.5" customHeight="1">
      <c r="A158" s="66"/>
      <c r="B158" s="147" t="s">
        <v>251</v>
      </c>
      <c r="C158" s="223">
        <f>DiedMastNumCurrentAdv*(ProdCurrent/CalvedNoTotalCurrent)*Payout</f>
        <v>4550</v>
      </c>
      <c r="D158" s="223">
        <f>DiedMastNumTargetAdv*(ProdCurrent/CalvedNoTotalCurrent)*Payout</f>
        <v>2275</v>
      </c>
      <c r="E158" s="134"/>
      <c r="F158" s="223">
        <f>C158-D158</f>
        <v>2275</v>
      </c>
      <c r="G158" s="68"/>
      <c r="H158" s="68"/>
      <c r="I158" s="68"/>
      <c r="J158" s="68"/>
      <c r="K158" s="68"/>
      <c r="L158" s="68"/>
      <c r="M158" s="68"/>
      <c r="N158" s="68"/>
      <c r="O158" s="68"/>
      <c r="P158" s="68"/>
      <c r="Q158" s="68"/>
      <c r="R158" s="68"/>
      <c r="AB158" s="53"/>
      <c r="AC158" s="53"/>
      <c r="AD158" s="53"/>
      <c r="AE158" s="53"/>
      <c r="AF158" s="53"/>
      <c r="AG158" s="53"/>
      <c r="AH158" s="53"/>
      <c r="AI158" s="53"/>
    </row>
    <row r="159" spans="1:18" s="64" customFormat="1" ht="9" customHeight="1">
      <c r="A159" s="154"/>
      <c r="B159" s="168"/>
      <c r="C159" s="169"/>
      <c r="D159" s="170"/>
      <c r="E159" s="170"/>
      <c r="F159" s="169"/>
      <c r="G159" s="72"/>
      <c r="H159" s="72"/>
      <c r="I159" s="72"/>
      <c r="J159" s="72"/>
      <c r="K159" s="72"/>
      <c r="L159" s="72"/>
      <c r="M159" s="72"/>
      <c r="N159" s="72"/>
      <c r="O159" s="72"/>
      <c r="P159" s="72"/>
      <c r="Q159" s="72"/>
      <c r="R159" s="72"/>
    </row>
    <row r="160" spans="1:35" ht="22.5" customHeight="1">
      <c r="A160" s="66"/>
      <c r="B160" s="147" t="s">
        <v>252</v>
      </c>
      <c r="C160" s="223">
        <f>CullingCosts!B7</f>
        <v>4111.851851851852</v>
      </c>
      <c r="D160" s="223">
        <f>CullingCosts!C7</f>
        <v>1027.962962962963</v>
      </c>
      <c r="E160" s="134"/>
      <c r="F160" s="223">
        <f>C160-D160</f>
        <v>3083.888888888889</v>
      </c>
      <c r="G160" s="68"/>
      <c r="H160" s="68"/>
      <c r="I160" s="68"/>
      <c r="J160" s="68"/>
      <c r="K160" s="68"/>
      <c r="L160" s="68"/>
      <c r="M160" s="68"/>
      <c r="N160" s="68"/>
      <c r="O160" s="68"/>
      <c r="P160" s="68"/>
      <c r="Q160" s="68"/>
      <c r="R160" s="68"/>
      <c r="AB160" s="53"/>
      <c r="AC160" s="53"/>
      <c r="AD160" s="53"/>
      <c r="AE160" s="53"/>
      <c r="AF160" s="53"/>
      <c r="AG160" s="53"/>
      <c r="AH160" s="53"/>
      <c r="AI160" s="53"/>
    </row>
    <row r="161" spans="1:18" s="64" customFormat="1" ht="9" customHeight="1">
      <c r="A161" s="154"/>
      <c r="B161" s="168"/>
      <c r="C161" s="169"/>
      <c r="D161" s="170"/>
      <c r="E161" s="170"/>
      <c r="F161" s="169"/>
      <c r="G161" s="72"/>
      <c r="H161" s="72"/>
      <c r="I161" s="72"/>
      <c r="J161" s="72"/>
      <c r="K161" s="72"/>
      <c r="L161" s="72"/>
      <c r="M161" s="72"/>
      <c r="N161" s="72"/>
      <c r="O161" s="72"/>
      <c r="P161" s="72"/>
      <c r="Q161" s="72"/>
      <c r="R161" s="72"/>
    </row>
    <row r="162" spans="1:35" ht="22.5" customHeight="1">
      <c r="A162" s="66"/>
      <c r="B162" s="147" t="s">
        <v>253</v>
      </c>
      <c r="C162" s="223">
        <f>CullingCosts!B13</f>
        <v>-1225</v>
      </c>
      <c r="D162" s="223">
        <f>CullingCosts!C13</f>
        <v>-306.25</v>
      </c>
      <c r="E162" s="134"/>
      <c r="F162" s="223">
        <f>C162-D162</f>
        <v>-918.75</v>
      </c>
      <c r="G162" s="68"/>
      <c r="H162" s="68"/>
      <c r="I162" s="68"/>
      <c r="J162" s="68"/>
      <c r="K162" s="68"/>
      <c r="L162" s="68"/>
      <c r="M162" s="68"/>
      <c r="N162" s="68"/>
      <c r="O162" s="68"/>
      <c r="P162" s="68"/>
      <c r="Q162" s="68"/>
      <c r="R162" s="68"/>
      <c r="AB162" s="53"/>
      <c r="AC162" s="53"/>
      <c r="AD162" s="53"/>
      <c r="AE162" s="53"/>
      <c r="AF162" s="53"/>
      <c r="AG162" s="53"/>
      <c r="AH162" s="53"/>
      <c r="AI162" s="53"/>
    </row>
    <row r="163" spans="1:18" s="64" customFormat="1" ht="9" customHeight="1">
      <c r="A163" s="154"/>
      <c r="B163" s="168"/>
      <c r="C163" s="169"/>
      <c r="D163" s="170"/>
      <c r="E163" s="170"/>
      <c r="F163" s="169"/>
      <c r="G163" s="72"/>
      <c r="H163" s="72"/>
      <c r="I163" s="72"/>
      <c r="J163" s="72"/>
      <c r="K163" s="72"/>
      <c r="L163" s="72"/>
      <c r="M163" s="72"/>
      <c r="N163" s="72"/>
      <c r="O163" s="72"/>
      <c r="P163" s="72"/>
      <c r="Q163" s="72"/>
      <c r="R163" s="72"/>
    </row>
    <row r="164" spans="1:35" ht="22.5" customHeight="1">
      <c r="A164" s="66"/>
      <c r="B164" s="178" t="s">
        <v>11</v>
      </c>
      <c r="C164" s="258">
        <f>SUM(C154:C162)</f>
        <v>24623.851851851854</v>
      </c>
      <c r="D164" s="258">
        <f>SUM(D154:D162)</f>
        <v>11590.212962962964</v>
      </c>
      <c r="E164" s="188"/>
      <c r="F164" s="258">
        <f>IF(SUM(F154:F162)&lt;0,FLOOR(SUM(F154:F162),-100),FLOOR(SUM(F154:F162),100))</f>
        <v>13000</v>
      </c>
      <c r="G164" s="68"/>
      <c r="H164" s="68"/>
      <c r="I164" s="68"/>
      <c r="J164" s="68"/>
      <c r="K164" s="68"/>
      <c r="L164" s="68"/>
      <c r="M164" s="68"/>
      <c r="N164" s="68"/>
      <c r="O164" s="68"/>
      <c r="P164" s="68"/>
      <c r="Q164" s="68"/>
      <c r="R164" s="68"/>
      <c r="AB164" s="53"/>
      <c r="AC164" s="53"/>
      <c r="AD164" s="53"/>
      <c r="AE164" s="53"/>
      <c r="AF164" s="53"/>
      <c r="AG164" s="53"/>
      <c r="AH164" s="53"/>
      <c r="AI164" s="53"/>
    </row>
    <row r="165" spans="1:18" s="55" customFormat="1" ht="9" customHeight="1">
      <c r="A165" s="66"/>
      <c r="B165" s="131"/>
      <c r="C165" s="122"/>
      <c r="D165" s="56"/>
      <c r="E165" s="122"/>
      <c r="F165" s="122"/>
      <c r="G165" s="76"/>
      <c r="H165" s="68"/>
      <c r="I165" s="68"/>
      <c r="J165" s="68"/>
      <c r="K165" s="68"/>
      <c r="L165" s="68"/>
      <c r="M165" s="68"/>
      <c r="N165" s="68"/>
      <c r="O165" s="68"/>
      <c r="P165" s="68"/>
      <c r="Q165" s="68"/>
      <c r="R165" s="68"/>
    </row>
    <row r="166" spans="1:35" ht="22.5" customHeight="1">
      <c r="A166" s="66"/>
      <c r="B166" s="123" t="s">
        <v>128</v>
      </c>
      <c r="C166" s="259">
        <f>C47+C137+C164</f>
        <v>75451.67449573986</v>
      </c>
      <c r="D166" s="259">
        <f>D47+D137+D164</f>
        <v>32132.739458583863</v>
      </c>
      <c r="E166" s="151"/>
      <c r="F166" s="261">
        <f>SUM(F47,F137,F164)</f>
        <v>43200</v>
      </c>
      <c r="G166" s="68"/>
      <c r="H166" s="68"/>
      <c r="I166" s="68"/>
      <c r="J166" s="68"/>
      <c r="K166" s="68"/>
      <c r="L166" s="68"/>
      <c r="M166" s="68"/>
      <c r="N166" s="68"/>
      <c r="O166" s="68"/>
      <c r="P166" s="68"/>
      <c r="Q166" s="68"/>
      <c r="R166" s="68"/>
      <c r="AB166" s="53"/>
      <c r="AC166" s="53"/>
      <c r="AD166" s="53"/>
      <c r="AE166" s="53"/>
      <c r="AF166" s="53"/>
      <c r="AG166" s="53"/>
      <c r="AH166" s="53"/>
      <c r="AI166" s="53"/>
    </row>
    <row r="167" spans="1:35" ht="22.5" customHeight="1">
      <c r="A167" s="66"/>
      <c r="B167" s="131"/>
      <c r="C167" s="122"/>
      <c r="D167" s="122"/>
      <c r="E167" s="122"/>
      <c r="F167" s="122"/>
      <c r="G167" s="68"/>
      <c r="H167" s="68"/>
      <c r="I167" s="68"/>
      <c r="J167" s="68"/>
      <c r="K167" s="68"/>
      <c r="L167" s="68"/>
      <c r="M167" s="68"/>
      <c r="N167" s="68"/>
      <c r="O167" s="68"/>
      <c r="P167" s="68"/>
      <c r="Q167" s="68"/>
      <c r="R167" s="68"/>
      <c r="AB167" s="53"/>
      <c r="AC167" s="53"/>
      <c r="AD167" s="53"/>
      <c r="AE167" s="53"/>
      <c r="AF167" s="53"/>
      <c r="AG167" s="53"/>
      <c r="AH167" s="53"/>
      <c r="AI167" s="53"/>
    </row>
    <row r="168" spans="1:35" ht="22.5" customHeight="1">
      <c r="A168" s="66"/>
      <c r="B168" s="106"/>
      <c r="C168" s="153"/>
      <c r="D168" s="153"/>
      <c r="E168" s="153"/>
      <c r="F168" s="153"/>
      <c r="G168" s="68"/>
      <c r="H168" s="68"/>
      <c r="I168" s="68"/>
      <c r="J168" s="68"/>
      <c r="K168" s="68"/>
      <c r="L168" s="68"/>
      <c r="M168" s="68"/>
      <c r="N168" s="68"/>
      <c r="O168" s="68"/>
      <c r="P168" s="68"/>
      <c r="Q168" s="68"/>
      <c r="R168" s="68"/>
      <c r="AB168" s="53"/>
      <c r="AC168" s="53"/>
      <c r="AD168" s="53"/>
      <c r="AE168" s="53"/>
      <c r="AF168" s="53"/>
      <c r="AG168" s="53"/>
      <c r="AH168" s="53"/>
      <c r="AI168" s="53"/>
    </row>
    <row r="169" spans="1:35" ht="22.5" customHeight="1">
      <c r="A169" s="66"/>
      <c r="B169" s="152"/>
      <c r="C169" s="153"/>
      <c r="D169" s="153"/>
      <c r="E169" s="153"/>
      <c r="F169" s="153"/>
      <c r="G169" s="68"/>
      <c r="H169" s="68"/>
      <c r="I169" s="68"/>
      <c r="J169" s="68"/>
      <c r="K169" s="68"/>
      <c r="L169" s="68"/>
      <c r="M169" s="68"/>
      <c r="N169" s="68"/>
      <c r="O169" s="68"/>
      <c r="P169" s="68"/>
      <c r="Q169" s="68"/>
      <c r="R169" s="68"/>
      <c r="AB169" s="53"/>
      <c r="AC169" s="53"/>
      <c r="AD169" s="53"/>
      <c r="AE169" s="53"/>
      <c r="AF169" s="53"/>
      <c r="AG169" s="53"/>
      <c r="AH169" s="53"/>
      <c r="AI169" s="53"/>
    </row>
    <row r="170" spans="2:18" s="55" customFormat="1" ht="15">
      <c r="B170" s="66"/>
      <c r="C170" s="76"/>
      <c r="D170" s="76"/>
      <c r="E170" s="76"/>
      <c r="F170" s="76"/>
      <c r="G170" s="68"/>
      <c r="H170" s="68"/>
      <c r="I170" s="68"/>
      <c r="J170" s="68"/>
      <c r="K170" s="68"/>
      <c r="L170" s="68"/>
      <c r="M170" s="68"/>
      <c r="N170" s="68"/>
      <c r="O170" s="68"/>
      <c r="P170" s="68"/>
      <c r="Q170" s="68"/>
      <c r="R170" s="68"/>
    </row>
    <row r="171" spans="2:18" s="55" customFormat="1" ht="15">
      <c r="B171" s="68"/>
      <c r="C171" s="68"/>
      <c r="D171" s="68"/>
      <c r="E171" s="68"/>
      <c r="F171" s="76"/>
      <c r="G171" s="68"/>
      <c r="H171" s="68"/>
      <c r="I171" s="68"/>
      <c r="J171" s="68"/>
      <c r="K171" s="68"/>
      <c r="L171" s="68"/>
      <c r="M171" s="68"/>
      <c r="N171" s="68"/>
      <c r="O171" s="68"/>
      <c r="P171" s="68"/>
      <c r="Q171" s="68"/>
      <c r="R171" s="68"/>
    </row>
    <row r="172" spans="2:18" s="55" customFormat="1" ht="15">
      <c r="B172" s="68"/>
      <c r="C172" s="68"/>
      <c r="D172" s="68"/>
      <c r="E172" s="68"/>
      <c r="F172" s="68"/>
      <c r="G172" s="68"/>
      <c r="H172" s="68"/>
      <c r="I172" s="68"/>
      <c r="J172" s="68"/>
      <c r="K172" s="68"/>
      <c r="L172" s="68"/>
      <c r="M172" s="68"/>
      <c r="N172" s="68"/>
      <c r="O172" s="68"/>
      <c r="P172" s="68"/>
      <c r="Q172" s="68"/>
      <c r="R172" s="68"/>
    </row>
    <row r="173" spans="2:18" s="55" customFormat="1" ht="1.5" customHeight="1">
      <c r="B173" s="276"/>
      <c r="C173" s="276"/>
      <c r="D173" s="276"/>
      <c r="E173" s="276"/>
      <c r="F173" s="276"/>
      <c r="G173" s="68"/>
      <c r="H173" s="68"/>
      <c r="I173" s="68"/>
      <c r="J173" s="68"/>
      <c r="K173" s="68"/>
      <c r="L173" s="68"/>
      <c r="M173" s="68"/>
      <c r="N173" s="68"/>
      <c r="O173" s="68"/>
      <c r="P173" s="68"/>
      <c r="Q173" s="68"/>
      <c r="R173" s="68"/>
    </row>
    <row r="174" spans="2:18" s="55" customFormat="1" ht="15">
      <c r="B174" s="68"/>
      <c r="C174" s="68"/>
      <c r="D174" s="68"/>
      <c r="E174" s="68"/>
      <c r="F174" s="68"/>
      <c r="G174" s="68"/>
      <c r="H174" s="68"/>
      <c r="I174" s="68"/>
      <c r="J174" s="68"/>
      <c r="K174" s="68"/>
      <c r="L174" s="68"/>
      <c r="M174" s="68"/>
      <c r="N174" s="68"/>
      <c r="O174" s="68"/>
      <c r="P174" s="68"/>
      <c r="Q174" s="68"/>
      <c r="R174" s="68"/>
    </row>
    <row r="175" spans="2:18" s="55" customFormat="1" ht="15">
      <c r="B175" s="68"/>
      <c r="C175" s="68"/>
      <c r="D175" s="68"/>
      <c r="E175" s="68"/>
      <c r="F175" s="68"/>
      <c r="G175" s="68"/>
      <c r="H175" s="68"/>
      <c r="I175" s="68"/>
      <c r="J175" s="68"/>
      <c r="K175" s="68"/>
      <c r="L175" s="68"/>
      <c r="M175" s="68"/>
      <c r="N175" s="68"/>
      <c r="O175" s="68"/>
      <c r="P175" s="68"/>
      <c r="Q175" s="68"/>
      <c r="R175" s="68"/>
    </row>
    <row r="176" spans="2:18" s="55" customFormat="1" ht="15">
      <c r="B176" s="68"/>
      <c r="C176" s="68"/>
      <c r="D176" s="68"/>
      <c r="E176" s="68"/>
      <c r="F176" s="68"/>
      <c r="G176" s="68"/>
      <c r="H176" s="68"/>
      <c r="I176" s="68"/>
      <c r="J176" s="68"/>
      <c r="K176" s="68"/>
      <c r="L176" s="68"/>
      <c r="M176" s="68"/>
      <c r="N176" s="68"/>
      <c r="O176" s="68"/>
      <c r="P176" s="68"/>
      <c r="Q176" s="68"/>
      <c r="R176" s="68"/>
    </row>
    <row r="177" spans="2:18" s="55" customFormat="1" ht="15">
      <c r="B177" s="68"/>
      <c r="C177" s="68"/>
      <c r="D177" s="68"/>
      <c r="E177" s="68"/>
      <c r="F177" s="68"/>
      <c r="G177" s="68"/>
      <c r="H177" s="68"/>
      <c r="I177" s="68"/>
      <c r="J177" s="68"/>
      <c r="K177" s="68"/>
      <c r="L177" s="68"/>
      <c r="M177" s="68"/>
      <c r="N177" s="68"/>
      <c r="O177" s="68"/>
      <c r="P177" s="68"/>
      <c r="Q177" s="68"/>
      <c r="R177" s="68"/>
    </row>
    <row r="178" spans="2:18" s="55" customFormat="1" ht="15">
      <c r="B178" s="68"/>
      <c r="C178" s="68"/>
      <c r="D178" s="68"/>
      <c r="E178" s="68"/>
      <c r="F178" s="68"/>
      <c r="G178" s="68"/>
      <c r="H178" s="68"/>
      <c r="I178" s="68"/>
      <c r="J178" s="68"/>
      <c r="K178" s="68"/>
      <c r="L178" s="68"/>
      <c r="M178" s="68"/>
      <c r="N178" s="68"/>
      <c r="O178" s="68"/>
      <c r="P178" s="68"/>
      <c r="Q178" s="68"/>
      <c r="R178" s="68"/>
    </row>
    <row r="179" spans="2:18" s="55" customFormat="1" ht="15">
      <c r="B179" s="68"/>
      <c r="C179" s="68"/>
      <c r="D179" s="68"/>
      <c r="E179" s="68"/>
      <c r="F179" s="68"/>
      <c r="G179" s="68"/>
      <c r="H179" s="68"/>
      <c r="I179" s="68"/>
      <c r="J179" s="68"/>
      <c r="K179" s="68"/>
      <c r="L179" s="68"/>
      <c r="M179" s="68"/>
      <c r="N179" s="68"/>
      <c r="O179" s="68"/>
      <c r="P179" s="68"/>
      <c r="Q179" s="68"/>
      <c r="R179" s="68"/>
    </row>
    <row r="180" spans="2:18" s="55" customFormat="1" ht="15">
      <c r="B180" s="68"/>
      <c r="C180" s="68"/>
      <c r="D180" s="68"/>
      <c r="E180" s="68"/>
      <c r="F180" s="68"/>
      <c r="G180" s="68"/>
      <c r="H180" s="68"/>
      <c r="I180" s="68"/>
      <c r="J180" s="68"/>
      <c r="K180" s="68"/>
      <c r="L180" s="68"/>
      <c r="M180" s="68"/>
      <c r="N180" s="68"/>
      <c r="O180" s="68"/>
      <c r="P180" s="68"/>
      <c r="Q180" s="68"/>
      <c r="R180" s="68"/>
    </row>
    <row r="181" spans="2:18" s="55" customFormat="1" ht="15">
      <c r="B181" s="68"/>
      <c r="C181" s="68"/>
      <c r="D181" s="68"/>
      <c r="E181" s="68"/>
      <c r="F181" s="68"/>
      <c r="G181" s="68"/>
      <c r="H181" s="68"/>
      <c r="I181" s="68"/>
      <c r="J181" s="68"/>
      <c r="K181" s="68"/>
      <c r="L181" s="68"/>
      <c r="M181" s="68"/>
      <c r="N181" s="68"/>
      <c r="O181" s="68"/>
      <c r="P181" s="68"/>
      <c r="Q181" s="68"/>
      <c r="R181" s="68"/>
    </row>
    <row r="182" spans="2:18" s="55" customFormat="1" ht="15">
      <c r="B182" s="68"/>
      <c r="C182" s="68"/>
      <c r="D182" s="68"/>
      <c r="E182" s="68"/>
      <c r="F182" s="68"/>
      <c r="G182" s="68"/>
      <c r="H182" s="68"/>
      <c r="I182" s="68"/>
      <c r="J182" s="68"/>
      <c r="K182" s="68"/>
      <c r="L182" s="68"/>
      <c r="M182" s="68"/>
      <c r="N182" s="68"/>
      <c r="O182" s="68"/>
      <c r="P182" s="68"/>
      <c r="Q182" s="68"/>
      <c r="R182" s="68"/>
    </row>
    <row r="183" spans="2:18" s="55" customFormat="1" ht="15">
      <c r="B183" s="68"/>
      <c r="C183" s="68"/>
      <c r="D183" s="68"/>
      <c r="E183" s="68"/>
      <c r="F183" s="68"/>
      <c r="G183" s="68"/>
      <c r="H183" s="68"/>
      <c r="I183" s="68"/>
      <c r="J183" s="68"/>
      <c r="K183" s="68"/>
      <c r="L183" s="68"/>
      <c r="M183" s="68"/>
      <c r="N183" s="68"/>
      <c r="O183" s="68"/>
      <c r="P183" s="68"/>
      <c r="Q183" s="68"/>
      <c r="R183" s="68"/>
    </row>
    <row r="184" spans="2:18" s="55" customFormat="1" ht="15">
      <c r="B184" s="68"/>
      <c r="C184" s="68"/>
      <c r="D184" s="68"/>
      <c r="E184" s="68"/>
      <c r="F184" s="68"/>
      <c r="G184" s="68"/>
      <c r="H184" s="68"/>
      <c r="I184" s="68"/>
      <c r="J184" s="68"/>
      <c r="K184" s="68"/>
      <c r="L184" s="68"/>
      <c r="M184" s="68"/>
      <c r="N184" s="68"/>
      <c r="O184" s="68"/>
      <c r="P184" s="68"/>
      <c r="Q184" s="68"/>
      <c r="R184" s="68"/>
    </row>
    <row r="185" spans="2:18" s="55" customFormat="1" ht="15">
      <c r="B185" s="68"/>
      <c r="C185" s="68"/>
      <c r="D185" s="68"/>
      <c r="E185" s="68"/>
      <c r="F185" s="68"/>
      <c r="G185" s="68"/>
      <c r="H185" s="68"/>
      <c r="I185" s="68"/>
      <c r="J185" s="68"/>
      <c r="K185" s="68"/>
      <c r="L185" s="68"/>
      <c r="M185" s="68"/>
      <c r="N185" s="68"/>
      <c r="O185" s="68"/>
      <c r="P185" s="68"/>
      <c r="Q185" s="68"/>
      <c r="R185" s="68"/>
    </row>
    <row r="186" spans="2:18" s="55" customFormat="1" ht="15">
      <c r="B186" s="68"/>
      <c r="C186" s="68"/>
      <c r="D186" s="68"/>
      <c r="E186" s="68"/>
      <c r="F186" s="68"/>
      <c r="G186" s="68"/>
      <c r="H186" s="68"/>
      <c r="I186" s="68"/>
      <c r="J186" s="68"/>
      <c r="K186" s="68"/>
      <c r="L186" s="68"/>
      <c r="M186" s="68"/>
      <c r="N186" s="68"/>
      <c r="O186" s="68"/>
      <c r="P186" s="68"/>
      <c r="Q186" s="68"/>
      <c r="R186" s="68"/>
    </row>
    <row r="187" spans="2:18" s="55" customFormat="1" ht="15">
      <c r="B187" s="68"/>
      <c r="C187" s="68"/>
      <c r="D187" s="68"/>
      <c r="E187" s="68"/>
      <c r="F187" s="68"/>
      <c r="G187" s="68"/>
      <c r="H187" s="68"/>
      <c r="I187" s="68"/>
      <c r="J187" s="68"/>
      <c r="K187" s="68"/>
      <c r="L187" s="68"/>
      <c r="M187" s="68"/>
      <c r="N187" s="68"/>
      <c r="O187" s="68"/>
      <c r="P187" s="68"/>
      <c r="Q187" s="68"/>
      <c r="R187" s="68"/>
    </row>
    <row r="188" spans="2:18" s="55" customFormat="1" ht="15">
      <c r="B188" s="68"/>
      <c r="C188" s="68"/>
      <c r="D188" s="68"/>
      <c r="E188" s="68"/>
      <c r="F188" s="68"/>
      <c r="G188" s="68"/>
      <c r="H188" s="68"/>
      <c r="I188" s="68"/>
      <c r="J188" s="68"/>
      <c r="K188" s="68"/>
      <c r="L188" s="68"/>
      <c r="M188" s="68"/>
      <c r="N188" s="68"/>
      <c r="O188" s="68"/>
      <c r="P188" s="68"/>
      <c r="Q188" s="68"/>
      <c r="R188" s="68"/>
    </row>
    <row r="189" spans="2:18" s="55" customFormat="1" ht="15">
      <c r="B189" s="68"/>
      <c r="C189" s="68"/>
      <c r="D189" s="68"/>
      <c r="E189" s="68"/>
      <c r="F189" s="68"/>
      <c r="G189" s="68"/>
      <c r="H189" s="68"/>
      <c r="I189" s="68"/>
      <c r="J189" s="68"/>
      <c r="K189" s="68"/>
      <c r="L189" s="68"/>
      <c r="M189" s="68"/>
      <c r="N189" s="68"/>
      <c r="O189" s="68"/>
      <c r="P189" s="68"/>
      <c r="Q189" s="68"/>
      <c r="R189" s="68"/>
    </row>
    <row r="190" spans="2:18" s="55" customFormat="1" ht="15">
      <c r="B190" s="68"/>
      <c r="C190" s="68"/>
      <c r="D190" s="68"/>
      <c r="E190" s="68"/>
      <c r="F190" s="68"/>
      <c r="G190" s="68"/>
      <c r="H190" s="68"/>
      <c r="I190" s="68"/>
      <c r="J190" s="68"/>
      <c r="K190" s="68"/>
      <c r="L190" s="68"/>
      <c r="M190" s="68"/>
      <c r="N190" s="68"/>
      <c r="O190" s="68"/>
      <c r="P190" s="68"/>
      <c r="Q190" s="68"/>
      <c r="R190" s="68"/>
    </row>
    <row r="191" spans="2:18" s="55" customFormat="1" ht="15">
      <c r="B191" s="68"/>
      <c r="C191" s="68"/>
      <c r="D191" s="68"/>
      <c r="E191" s="68"/>
      <c r="F191" s="68"/>
      <c r="G191" s="68"/>
      <c r="H191" s="68"/>
      <c r="I191" s="68"/>
      <c r="J191" s="68"/>
      <c r="K191" s="68"/>
      <c r="L191" s="68"/>
      <c r="M191" s="68"/>
      <c r="N191" s="68"/>
      <c r="O191" s="68"/>
      <c r="P191" s="68"/>
      <c r="Q191" s="68"/>
      <c r="R191" s="68"/>
    </row>
    <row r="192" spans="2:18" s="55" customFormat="1" ht="15">
      <c r="B192" s="68"/>
      <c r="C192" s="68"/>
      <c r="D192" s="68"/>
      <c r="E192" s="68"/>
      <c r="F192" s="68"/>
      <c r="G192" s="68"/>
      <c r="H192" s="68"/>
      <c r="I192" s="68"/>
      <c r="J192" s="68"/>
      <c r="K192" s="68"/>
      <c r="L192" s="68"/>
      <c r="M192" s="68"/>
      <c r="N192" s="68"/>
      <c r="O192" s="68"/>
      <c r="P192" s="68"/>
      <c r="Q192" s="68"/>
      <c r="R192" s="68"/>
    </row>
    <row r="193" spans="2:18" s="55" customFormat="1" ht="15">
      <c r="B193" s="68"/>
      <c r="C193" s="68"/>
      <c r="D193" s="68"/>
      <c r="E193" s="68"/>
      <c r="F193" s="68"/>
      <c r="G193" s="68"/>
      <c r="H193" s="68"/>
      <c r="I193" s="68"/>
      <c r="J193" s="68"/>
      <c r="K193" s="68"/>
      <c r="L193" s="68"/>
      <c r="M193" s="68"/>
      <c r="N193" s="68"/>
      <c r="O193" s="68"/>
      <c r="P193" s="68"/>
      <c r="Q193" s="68"/>
      <c r="R193" s="68"/>
    </row>
    <row r="194" s="55" customFormat="1" ht="15"/>
    <row r="195" s="55" customFormat="1" ht="15"/>
    <row r="196" s="55" customFormat="1" ht="15"/>
    <row r="197" s="55" customFormat="1" ht="15"/>
    <row r="198" s="55" customFormat="1" ht="15"/>
    <row r="199" s="55" customFormat="1" ht="15"/>
    <row r="200" s="55" customFormat="1" ht="15"/>
    <row r="201" s="55" customFormat="1" ht="15"/>
    <row r="202" s="55" customFormat="1" ht="15"/>
    <row r="203" s="55" customFormat="1" ht="15"/>
    <row r="204" s="55" customFormat="1" ht="15"/>
    <row r="205" s="55" customFormat="1" ht="15"/>
    <row r="206" s="55" customFormat="1" ht="15"/>
    <row r="207" s="55" customFormat="1" ht="15"/>
    <row r="208" s="55" customFormat="1" ht="15"/>
    <row r="209" s="55" customFormat="1" ht="15"/>
    <row r="210" s="55" customFormat="1" ht="15"/>
    <row r="211" s="55" customFormat="1" ht="15"/>
    <row r="212" s="55" customFormat="1" ht="15"/>
    <row r="213" s="55" customFormat="1" ht="15"/>
    <row r="214" s="55" customFormat="1" ht="15"/>
    <row r="215" s="55" customFormat="1" ht="15"/>
    <row r="216" s="55" customFormat="1" ht="15"/>
    <row r="217" s="55" customFormat="1" ht="15"/>
    <row r="218" s="55" customFormat="1" ht="15"/>
    <row r="219" s="55" customFormat="1" ht="15"/>
    <row r="220" s="55" customFormat="1" ht="15"/>
    <row r="221" s="55" customFormat="1" ht="15"/>
    <row r="222" s="55" customFormat="1" ht="15"/>
    <row r="223" s="55" customFormat="1" ht="15"/>
    <row r="224" s="55" customFormat="1" ht="15"/>
    <row r="225" s="55" customFormat="1" ht="15"/>
    <row r="226" s="55" customFormat="1" ht="15"/>
    <row r="227" s="55" customFormat="1" ht="15"/>
  </sheetData>
  <sheetProtection sheet="1" objects="1" selectLockedCells="1"/>
  <mergeCells count="19">
    <mergeCell ref="C65:D65"/>
    <mergeCell ref="C50:D50"/>
    <mergeCell ref="B28:F28"/>
    <mergeCell ref="C31:F31"/>
    <mergeCell ref="C33:F33"/>
    <mergeCell ref="C35:F35"/>
    <mergeCell ref="C37:F37"/>
    <mergeCell ref="C39:F39"/>
    <mergeCell ref="B49:F49"/>
    <mergeCell ref="B139:F139"/>
    <mergeCell ref="B173:F173"/>
    <mergeCell ref="C4:F4"/>
    <mergeCell ref="C6:F6"/>
    <mergeCell ref="C8:F8"/>
    <mergeCell ref="C10:F10"/>
    <mergeCell ref="C12:F12"/>
    <mergeCell ref="C13:F13"/>
    <mergeCell ref="D14:E14"/>
    <mergeCell ref="C29:F29"/>
  </mergeCells>
  <dataValidations count="15">
    <dataValidation type="whole" allowBlank="1" showInputMessage="1" showErrorMessage="1" errorTitle="Error" error="Type in a number between 0 and 10,000" sqref="C145:D145 C143:D143 C96:D96 C93:D94 C91:D91 C112:D112 C87:D87 C81:D81 C79:D79 C83:D83 C77:D77 C73:D73 C75:D75 C71:D71 C85:D85 C69:D69 C67:D67 C116:D122 C124:D124 C89:D89 C126:D126 C128:D130 C132:D132 C134:D134 C38:D38">
      <formula1>0</formula1>
      <formula2>10000</formula2>
    </dataValidation>
    <dataValidation type="whole" allowBlank="1" showInputMessage="1" showErrorMessage="1" errorTitle="Error" error="Type in a number between 0 and 5,000" sqref="C141:D142 C163:D163 C146:D155 C157:D157 C159:D159 C161:D161">
      <formula1>0</formula1>
      <formula2>5000</formula2>
    </dataValidation>
    <dataValidation type="whole" allowBlank="1" showInputMessage="1" showErrorMessage="1" errorTitle="Error" error="Type in a number between 100 and 1,000" sqref="C30:D30">
      <formula1>100</formula1>
      <formula2>1000</formula2>
    </dataValidation>
    <dataValidation type="whole" allowBlank="1" showInputMessage="1" showErrorMessage="1" errorTitle="Error" error="Type in a number between 10 and 10,000" sqref="C19:D20 C24:D24">
      <formula1>10</formula1>
      <formula2>10000</formula2>
    </dataValidation>
    <dataValidation type="whole" allowBlank="1" showInputMessage="1" showErrorMessage="1" sqref="C21:D21">
      <formula1>1000</formula1>
      <formula2>10000000</formula2>
    </dataValidation>
    <dataValidation type="textLength" allowBlank="1" showInputMessage="1" showErrorMessage="1" sqref="C4:C11">
      <formula1>0</formula1>
      <formula2>100</formula2>
    </dataValidation>
    <dataValidation type="decimal" allowBlank="1" showInputMessage="1" showErrorMessage="1" errorTitle="Error" error="Type in a value between 2.00 and 20.00" sqref="C15">
      <formula1>2</formula1>
      <formula2>20</formula2>
    </dataValidation>
    <dataValidation type="decimal" showInputMessage="1" showErrorMessage="1" errorTitle="Error" error="Type in a value between 2.00 and 20.00" sqref="C14">
      <formula1>2</formula1>
      <formula2>20</formula2>
    </dataValidation>
    <dataValidation allowBlank="1" showInputMessage="1" showErrorMessage="1" errorTitle="Error" error="Type in a number between 0 and 10,000" sqref="C123:F123 C125:F125"/>
    <dataValidation type="decimal" allowBlank="1" showInputMessage="1" showErrorMessage="1" errorTitle="Error" error="Type in a number between 0 and 10,000" sqref="C95:D95">
      <formula1>0</formula1>
      <formula2>2</formula2>
    </dataValidation>
    <dataValidation type="whole" allowBlank="1" showInputMessage="1" showErrorMessage="1" errorTitle="Error" error="Type in a number between 0 and 1,000" sqref="D34">
      <formula1>0</formula1>
      <formula2>1000</formula2>
    </dataValidation>
    <dataValidation type="whole" allowBlank="1" showInputMessage="1" showErrorMessage="1" errorTitle="Error" error="Type in a number between 0 and 1,000" sqref="C34">
      <formula1>0</formula1>
      <formula2>1000</formula2>
    </dataValidation>
    <dataValidation type="decimal" allowBlank="1" showInputMessage="1" showErrorMessage="1" errorTitle="Error" error="Type in a number between 0 and 5" sqref="C36:D36">
      <formula1>0</formula1>
      <formula2>5</formula2>
    </dataValidation>
    <dataValidation type="decimal" allowBlank="1" showInputMessage="1" showErrorMessage="1" errorTitle="Error" error="Type in a number between 0 and 6" sqref="C144:D144">
      <formula1>0</formula1>
      <formula2>6</formula2>
    </dataValidation>
    <dataValidation type="decimal" allowBlank="1" showInputMessage="1" showErrorMessage="1" prompt="Input a number between 1% and 100%" sqref="C114">
      <formula1>0.01</formula1>
      <formula2>1</formula2>
    </dataValidation>
  </dataValidations>
  <printOptions/>
  <pageMargins left="0.31496062992125984" right="0.31496062992125984" top="0.5118110236220472" bottom="0.5118110236220472" header="0.15748031496062992" footer="0.15748031496062992"/>
  <pageSetup fitToHeight="3" fitToWidth="1" horizontalDpi="600" verticalDpi="600" orientation="portrait" paperSize="9" scale="68" r:id="rId3"/>
  <headerFooter>
    <oddFooter>&amp;L&amp;8Version 2.5/Aug 2011&amp;C&amp;8&amp;A
&amp;F&amp;R&amp;8Printed: &amp;D</oddFooter>
  </headerFooter>
  <drawing r:id="rId2"/>
  <legacyDrawing r:id="rId1"/>
</worksheet>
</file>

<file path=xl/worksheets/sheet5.xml><?xml version="1.0" encoding="utf-8"?>
<worksheet xmlns="http://schemas.openxmlformats.org/spreadsheetml/2006/main" xmlns:r="http://schemas.openxmlformats.org/officeDocument/2006/relationships">
  <dimension ref="A1:P25"/>
  <sheetViews>
    <sheetView zoomScalePageLayoutView="0" workbookViewId="0" topLeftCell="A10">
      <selection activeCell="A1" sqref="A1"/>
    </sheetView>
  </sheetViews>
  <sheetFormatPr defaultColWidth="8.8515625" defaultRowHeight="15"/>
  <cols>
    <col min="1" max="1" width="36.140625" style="0" bestFit="1" customWidth="1"/>
    <col min="2" max="2" width="14.28125" style="0" bestFit="1" customWidth="1"/>
    <col min="3" max="3" width="13.8515625" style="0" customWidth="1"/>
    <col min="4" max="4" width="7.140625" style="0" bestFit="1" customWidth="1"/>
    <col min="5" max="5" width="11.140625" style="0" bestFit="1" customWidth="1"/>
    <col min="6" max="6" width="7.7109375" style="0" bestFit="1" customWidth="1"/>
    <col min="7" max="7" width="11.140625" style="0" bestFit="1" customWidth="1"/>
    <col min="8" max="8" width="7.7109375" style="0" bestFit="1" customWidth="1"/>
    <col min="9" max="9" width="11.140625" style="0" bestFit="1" customWidth="1"/>
    <col min="10" max="10" width="10.7109375" style="0" customWidth="1"/>
    <col min="11" max="11" width="11.140625" style="0" bestFit="1" customWidth="1"/>
    <col min="12" max="12" width="7.140625" style="0" bestFit="1" customWidth="1"/>
    <col min="13" max="13" width="10.140625" style="0" bestFit="1" customWidth="1"/>
  </cols>
  <sheetData>
    <row r="1" spans="1:2" ht="45">
      <c r="A1" s="1" t="s">
        <v>158</v>
      </c>
      <c r="B1" s="39">
        <f>Assumptions!B1</f>
        <v>0.021</v>
      </c>
    </row>
    <row r="2" spans="1:3" ht="15">
      <c r="A2" s="1" t="s">
        <v>117</v>
      </c>
      <c r="B2" s="21">
        <f>(LOG(BMSCCAveCurrent/100,2)*ProdLossSubclinMast)</f>
        <v>0.03328421251514428</v>
      </c>
      <c r="C2" s="21">
        <f>(LOG(BMSCCAveTarget/100,2)*ProdLossSubclinMast)</f>
        <v>0.01228421251514428</v>
      </c>
    </row>
    <row r="3" spans="1:3" ht="15">
      <c r="A3" s="1" t="s">
        <v>118</v>
      </c>
      <c r="B3">
        <f>ROUND(B2*ProdCurrent,0)</f>
        <v>5825</v>
      </c>
      <c r="C3">
        <f>ROUND(C2*ProdCurrent,0)</f>
        <v>2150</v>
      </c>
    </row>
    <row r="4" spans="1:3" ht="15">
      <c r="A4" s="1" t="s">
        <v>119</v>
      </c>
      <c r="B4" s="11">
        <f>B3*Payout</f>
        <v>37862.5</v>
      </c>
      <c r="C4" s="11">
        <f>C3*Payout</f>
        <v>13975</v>
      </c>
    </row>
    <row r="5" spans="1:3" ht="15">
      <c r="A5" s="1"/>
      <c r="B5" s="11"/>
      <c r="C5" s="11"/>
    </row>
    <row r="6" ht="30">
      <c r="A6" s="1" t="s">
        <v>122</v>
      </c>
    </row>
    <row r="7" spans="1:16" ht="15">
      <c r="A7" s="5" t="s">
        <v>17</v>
      </c>
      <c r="B7" s="6" t="s">
        <v>18</v>
      </c>
      <c r="C7" s="6" t="s">
        <v>35</v>
      </c>
      <c r="D7" s="6" t="s">
        <v>26</v>
      </c>
      <c r="E7" s="6" t="s">
        <v>36</v>
      </c>
      <c r="F7" s="6" t="s">
        <v>27</v>
      </c>
      <c r="G7" s="6" t="s">
        <v>37</v>
      </c>
      <c r="H7" s="6" t="s">
        <v>28</v>
      </c>
      <c r="I7" s="6" t="s">
        <v>38</v>
      </c>
      <c r="J7" s="6" t="s">
        <v>34</v>
      </c>
      <c r="K7" s="6" t="s">
        <v>39</v>
      </c>
      <c r="L7" s="6" t="s">
        <v>48</v>
      </c>
      <c r="M7" s="6" t="s">
        <v>49</v>
      </c>
      <c r="N7" s="6" t="s">
        <v>24</v>
      </c>
      <c r="P7" s="6"/>
    </row>
    <row r="8" spans="1:14" ht="15">
      <c r="A8" s="4" t="s">
        <v>10</v>
      </c>
      <c r="B8" t="s">
        <v>19</v>
      </c>
      <c r="C8">
        <v>-0.05</v>
      </c>
      <c r="D8" t="s">
        <v>29</v>
      </c>
      <c r="E8">
        <v>-0.1</v>
      </c>
      <c r="F8" t="s">
        <v>30</v>
      </c>
      <c r="G8">
        <v>-0.30000000000000004</v>
      </c>
      <c r="H8" t="s">
        <v>31</v>
      </c>
      <c r="I8">
        <v>-1</v>
      </c>
      <c r="J8" t="s">
        <v>60</v>
      </c>
      <c r="L8" t="s">
        <v>60</v>
      </c>
      <c r="N8" t="s">
        <v>25</v>
      </c>
    </row>
    <row r="9" spans="1:14" ht="15">
      <c r="A9" s="4" t="s">
        <v>16</v>
      </c>
      <c r="B9" t="s">
        <v>23</v>
      </c>
      <c r="C9">
        <v>-0.005</v>
      </c>
      <c r="D9" t="s">
        <v>32</v>
      </c>
      <c r="E9">
        <v>-0.01</v>
      </c>
      <c r="F9" t="s">
        <v>33</v>
      </c>
      <c r="G9">
        <v>-0.060000000000000005</v>
      </c>
      <c r="H9" t="s">
        <v>40</v>
      </c>
      <c r="I9">
        <v>-0.11</v>
      </c>
      <c r="J9" t="s">
        <v>60</v>
      </c>
      <c r="L9" t="s">
        <v>60</v>
      </c>
      <c r="N9" t="s">
        <v>25</v>
      </c>
    </row>
    <row r="10" spans="1:14" ht="15">
      <c r="A10" s="4" t="s">
        <v>13</v>
      </c>
      <c r="B10" t="s">
        <v>21</v>
      </c>
      <c r="C10">
        <v>-0.03</v>
      </c>
      <c r="D10" t="s">
        <v>41</v>
      </c>
      <c r="E10">
        <v>-0.06</v>
      </c>
      <c r="F10" t="s">
        <v>43</v>
      </c>
      <c r="G10">
        <v>-0.6599999999999999</v>
      </c>
      <c r="H10" t="s">
        <v>44</v>
      </c>
      <c r="I10">
        <v>-2.06</v>
      </c>
      <c r="J10" t="s">
        <v>60</v>
      </c>
      <c r="L10" t="s">
        <v>60</v>
      </c>
      <c r="N10" t="s">
        <v>42</v>
      </c>
    </row>
    <row r="11" spans="1:14" ht="15">
      <c r="A11" s="4" t="s">
        <v>15</v>
      </c>
      <c r="B11" t="s">
        <v>22</v>
      </c>
      <c r="C11">
        <v>-0.1</v>
      </c>
      <c r="D11" t="s">
        <v>60</v>
      </c>
      <c r="F11" t="s">
        <v>60</v>
      </c>
      <c r="H11" t="s">
        <v>60</v>
      </c>
      <c r="J11" t="s">
        <v>60</v>
      </c>
      <c r="L11" t="s">
        <v>60</v>
      </c>
      <c r="N11" t="s">
        <v>25</v>
      </c>
    </row>
    <row r="12" spans="1:14" ht="15">
      <c r="A12" s="4" t="s">
        <v>12</v>
      </c>
      <c r="B12" t="s">
        <v>20</v>
      </c>
      <c r="C12">
        <v>-0.035</v>
      </c>
      <c r="D12" t="s">
        <v>45</v>
      </c>
      <c r="E12">
        <v>-0.07</v>
      </c>
      <c r="F12" t="s">
        <v>46</v>
      </c>
      <c r="G12">
        <v>-0.37</v>
      </c>
      <c r="H12" t="s">
        <v>47</v>
      </c>
      <c r="I12">
        <v>-2.07</v>
      </c>
      <c r="J12" t="s">
        <v>30</v>
      </c>
      <c r="K12">
        <v>-3.57</v>
      </c>
      <c r="L12" t="s">
        <v>50</v>
      </c>
      <c r="M12">
        <v>-7.07</v>
      </c>
      <c r="N12" t="s">
        <v>42</v>
      </c>
    </row>
    <row r="13" spans="1:14" ht="15">
      <c r="A13" s="4" t="s">
        <v>14</v>
      </c>
      <c r="B13" t="s">
        <v>22</v>
      </c>
      <c r="C13">
        <v>-0.1</v>
      </c>
      <c r="D13" t="s">
        <v>60</v>
      </c>
      <c r="F13" t="s">
        <v>60</v>
      </c>
      <c r="H13" t="s">
        <v>60</v>
      </c>
      <c r="J13" t="s">
        <v>60</v>
      </c>
      <c r="L13" t="s">
        <v>60</v>
      </c>
      <c r="N13" t="s">
        <v>25</v>
      </c>
    </row>
    <row r="15" ht="15">
      <c r="A15" s="29">
        <v>1</v>
      </c>
    </row>
    <row r="16" ht="15">
      <c r="A16" s="29" t="str">
        <f>INDEX(A8:A13,A15)</f>
        <v>Fonterra</v>
      </c>
    </row>
    <row r="18" spans="1:3" ht="45">
      <c r="A18" s="25" t="s">
        <v>169</v>
      </c>
      <c r="B18" t="s">
        <v>92</v>
      </c>
      <c r="C18" t="s">
        <v>56</v>
      </c>
    </row>
    <row r="19" spans="1:3" ht="15">
      <c r="A19" s="24" t="s">
        <v>98</v>
      </c>
      <c r="B19">
        <f>DryEarlyNumCurrentBas</f>
        <v>0</v>
      </c>
      <c r="C19">
        <f>DryEarlyNumTargetBas</f>
        <v>0</v>
      </c>
    </row>
    <row r="20" spans="1:3" ht="15">
      <c r="A20" s="22" t="s">
        <v>97</v>
      </c>
      <c r="B20">
        <f>MonthsDryEarlyCurrentBas</f>
        <v>0</v>
      </c>
      <c r="C20">
        <f>MonthsDryEarlyTargetBas</f>
        <v>0</v>
      </c>
    </row>
    <row r="21" spans="1:3" ht="30">
      <c r="A21" s="1" t="s">
        <v>129</v>
      </c>
      <c r="B21" s="9">
        <f>ProdLateLactAve</f>
        <v>0.8</v>
      </c>
      <c r="C21" s="9">
        <f>ProdLateLactAve</f>
        <v>0.8</v>
      </c>
    </row>
    <row r="22" spans="1:3" ht="15">
      <c r="A22" s="22" t="s">
        <v>170</v>
      </c>
      <c r="B22" s="11">
        <f>B19*B20*ProdDailyMSCurrentBas*30.5*B21*Payout</f>
        <v>0</v>
      </c>
      <c r="C22" s="11">
        <f>C19*C20*ProdDailyMSTargetBas*30.5*C21*Payout</f>
        <v>0</v>
      </c>
    </row>
    <row r="23" spans="1:3" ht="30">
      <c r="A23" s="1" t="s">
        <v>168</v>
      </c>
      <c r="B23">
        <f>DaysTempWithholdCurrentBas</f>
        <v>0</v>
      </c>
      <c r="C23">
        <f>DaysTempWithholdTargetBas</f>
        <v>0</v>
      </c>
    </row>
    <row r="24" spans="1:3" ht="15">
      <c r="A24" s="22" t="s">
        <v>172</v>
      </c>
      <c r="B24" s="8">
        <f>B23*ProdDailyMSCurrentBas*Payout</f>
        <v>0</v>
      </c>
      <c r="C24" s="8">
        <f>C23*ProdDailyMSTargetBas*Payout</f>
        <v>0</v>
      </c>
    </row>
    <row r="25" spans="1:3" ht="15">
      <c r="A25" s="1" t="s">
        <v>171</v>
      </c>
      <c r="B25" s="11">
        <f>B22+B24</f>
        <v>0</v>
      </c>
      <c r="C25" s="8">
        <f>C22+C24</f>
        <v>0</v>
      </c>
    </row>
  </sheetData>
  <sheetProtection password="8B19" sheet="1" selectLockedCells="1" selectUnlockedCells="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P25"/>
  <sheetViews>
    <sheetView zoomScalePageLayoutView="0" workbookViewId="0" topLeftCell="A10">
      <selection activeCell="A1" sqref="A1"/>
    </sheetView>
  </sheetViews>
  <sheetFormatPr defaultColWidth="8.8515625" defaultRowHeight="15"/>
  <cols>
    <col min="1" max="1" width="36.140625" style="0" bestFit="1" customWidth="1"/>
    <col min="2" max="2" width="14.28125" style="0" bestFit="1" customWidth="1"/>
    <col min="3" max="3" width="13.8515625" style="0" customWidth="1"/>
    <col min="4" max="4" width="7.140625" style="0" bestFit="1" customWidth="1"/>
    <col min="5" max="5" width="11.140625" style="0" bestFit="1" customWidth="1"/>
    <col min="6" max="6" width="7.7109375" style="0" bestFit="1" customWidth="1"/>
    <col min="7" max="7" width="11.140625" style="0" bestFit="1" customWidth="1"/>
    <col min="8" max="8" width="7.7109375" style="0" bestFit="1" customWidth="1"/>
    <col min="9" max="9" width="11.140625" style="0" bestFit="1" customWidth="1"/>
    <col min="10" max="10" width="10.7109375" style="0" customWidth="1"/>
    <col min="11" max="11" width="11.140625" style="0" bestFit="1" customWidth="1"/>
    <col min="12" max="12" width="7.140625" style="0" bestFit="1" customWidth="1"/>
    <col min="13" max="13" width="10.140625" style="0" bestFit="1" customWidth="1"/>
  </cols>
  <sheetData>
    <row r="1" spans="1:2" ht="45">
      <c r="A1" s="1" t="s">
        <v>158</v>
      </c>
      <c r="B1" s="39">
        <f>ProdLossSubclinMast</f>
        <v>0.021</v>
      </c>
    </row>
    <row r="2" spans="1:3" ht="15">
      <c r="A2" s="1" t="s">
        <v>117</v>
      </c>
      <c r="B2" s="21">
        <f>(LOG(BMSCCAveCurrent/100,2)*ProdLossSubclinMast)</f>
        <v>0.03328421251514428</v>
      </c>
      <c r="C2" s="21">
        <f>(LOG(BMSCCAveTarget/100,2)*ProdLossSubclinMast)</f>
        <v>0.01228421251514428</v>
      </c>
    </row>
    <row r="3" spans="1:3" ht="15">
      <c r="A3" s="1" t="s">
        <v>118</v>
      </c>
      <c r="B3">
        <f>ROUND(B2*'DataInputBasic '!C21,0)</f>
        <v>5825</v>
      </c>
      <c r="C3">
        <f>ROUND(C2*'DataInputBasic '!D21,0)</f>
        <v>2150</v>
      </c>
    </row>
    <row r="4" spans="1:3" ht="15">
      <c r="A4" s="1" t="s">
        <v>119</v>
      </c>
      <c r="B4" s="11">
        <f>B3*Payout</f>
        <v>37862.5</v>
      </c>
      <c r="C4" s="11">
        <f>C3*Payout</f>
        <v>13975</v>
      </c>
    </row>
    <row r="5" spans="1:3" ht="15">
      <c r="A5" s="1"/>
      <c r="B5" s="11"/>
      <c r="C5" s="11"/>
    </row>
    <row r="6" ht="30">
      <c r="A6" s="1" t="s">
        <v>122</v>
      </c>
    </row>
    <row r="7" spans="1:16" ht="15">
      <c r="A7" s="5" t="s">
        <v>17</v>
      </c>
      <c r="B7" s="6" t="s">
        <v>18</v>
      </c>
      <c r="C7" s="6" t="s">
        <v>35</v>
      </c>
      <c r="D7" s="6" t="s">
        <v>26</v>
      </c>
      <c r="E7" s="6" t="s">
        <v>36</v>
      </c>
      <c r="F7" s="6" t="s">
        <v>27</v>
      </c>
      <c r="G7" s="6" t="s">
        <v>37</v>
      </c>
      <c r="H7" s="6" t="s">
        <v>28</v>
      </c>
      <c r="I7" s="6" t="s">
        <v>38</v>
      </c>
      <c r="J7" s="6" t="s">
        <v>34</v>
      </c>
      <c r="K7" s="6" t="s">
        <v>39</v>
      </c>
      <c r="L7" s="6" t="s">
        <v>48</v>
      </c>
      <c r="M7" s="6" t="s">
        <v>49</v>
      </c>
      <c r="N7" s="6" t="s">
        <v>24</v>
      </c>
      <c r="P7" s="6"/>
    </row>
    <row r="8" spans="1:14" ht="15">
      <c r="A8" s="4" t="s">
        <v>10</v>
      </c>
      <c r="B8" t="s">
        <v>19</v>
      </c>
      <c r="C8">
        <v>-0.05</v>
      </c>
      <c r="D8" t="s">
        <v>29</v>
      </c>
      <c r="E8">
        <v>-0.1</v>
      </c>
      <c r="F8" t="s">
        <v>30</v>
      </c>
      <c r="G8">
        <v>-0.30000000000000004</v>
      </c>
      <c r="H8" t="s">
        <v>31</v>
      </c>
      <c r="I8">
        <v>-1</v>
      </c>
      <c r="J8" t="s">
        <v>60</v>
      </c>
      <c r="L8" t="s">
        <v>60</v>
      </c>
      <c r="N8" t="s">
        <v>25</v>
      </c>
    </row>
    <row r="9" spans="1:14" ht="15">
      <c r="A9" s="4" t="s">
        <v>16</v>
      </c>
      <c r="B9" t="s">
        <v>23</v>
      </c>
      <c r="C9">
        <v>-0.005</v>
      </c>
      <c r="D9" t="s">
        <v>32</v>
      </c>
      <c r="E9">
        <v>-0.01</v>
      </c>
      <c r="F9" t="s">
        <v>33</v>
      </c>
      <c r="G9">
        <v>-0.060000000000000005</v>
      </c>
      <c r="H9" t="s">
        <v>40</v>
      </c>
      <c r="I9">
        <v>-0.11</v>
      </c>
      <c r="J9" t="s">
        <v>60</v>
      </c>
      <c r="L9" t="s">
        <v>60</v>
      </c>
      <c r="N9" t="s">
        <v>25</v>
      </c>
    </row>
    <row r="10" spans="1:14" ht="15">
      <c r="A10" s="4" t="s">
        <v>13</v>
      </c>
      <c r="B10" t="s">
        <v>21</v>
      </c>
      <c r="C10">
        <v>-0.03</v>
      </c>
      <c r="D10" t="s">
        <v>41</v>
      </c>
      <c r="E10">
        <v>-0.06</v>
      </c>
      <c r="F10" t="s">
        <v>43</v>
      </c>
      <c r="G10">
        <v>-0.6599999999999999</v>
      </c>
      <c r="H10" t="s">
        <v>44</v>
      </c>
      <c r="I10">
        <v>-2.06</v>
      </c>
      <c r="J10" t="s">
        <v>60</v>
      </c>
      <c r="L10" t="s">
        <v>60</v>
      </c>
      <c r="N10" t="s">
        <v>42</v>
      </c>
    </row>
    <row r="11" spans="1:14" ht="15">
      <c r="A11" s="4" t="s">
        <v>15</v>
      </c>
      <c r="B11" t="s">
        <v>22</v>
      </c>
      <c r="C11">
        <v>-0.1</v>
      </c>
      <c r="D11" t="s">
        <v>60</v>
      </c>
      <c r="F11" t="s">
        <v>60</v>
      </c>
      <c r="H11" t="s">
        <v>60</v>
      </c>
      <c r="J11" t="s">
        <v>60</v>
      </c>
      <c r="L11" t="s">
        <v>60</v>
      </c>
      <c r="N11" t="s">
        <v>25</v>
      </c>
    </row>
    <row r="12" spans="1:14" ht="15">
      <c r="A12" s="4" t="s">
        <v>12</v>
      </c>
      <c r="B12" t="s">
        <v>20</v>
      </c>
      <c r="C12">
        <v>-0.035</v>
      </c>
      <c r="D12" t="s">
        <v>45</v>
      </c>
      <c r="E12">
        <v>-0.07</v>
      </c>
      <c r="F12" t="s">
        <v>46</v>
      </c>
      <c r="G12">
        <v>-0.37</v>
      </c>
      <c r="H12" t="s">
        <v>47</v>
      </c>
      <c r="I12">
        <v>-2.07</v>
      </c>
      <c r="J12" t="s">
        <v>30</v>
      </c>
      <c r="K12">
        <v>-3.57</v>
      </c>
      <c r="L12" t="s">
        <v>50</v>
      </c>
      <c r="M12">
        <v>-7.07</v>
      </c>
      <c r="N12" t="s">
        <v>42</v>
      </c>
    </row>
    <row r="13" spans="1:14" ht="15">
      <c r="A13" s="4" t="s">
        <v>14</v>
      </c>
      <c r="B13" t="s">
        <v>22</v>
      </c>
      <c r="C13">
        <v>-0.1</v>
      </c>
      <c r="D13" t="s">
        <v>60</v>
      </c>
      <c r="F13" t="s">
        <v>60</v>
      </c>
      <c r="H13" t="s">
        <v>60</v>
      </c>
      <c r="J13" t="s">
        <v>60</v>
      </c>
      <c r="L13" t="s">
        <v>60</v>
      </c>
      <c r="N13" t="s">
        <v>25</v>
      </c>
    </row>
    <row r="15" ht="15">
      <c r="A15" s="29">
        <v>1</v>
      </c>
    </row>
    <row r="16" ht="15">
      <c r="A16" s="29" t="str">
        <f>INDEX(A8:A13,A15)</f>
        <v>Fonterra</v>
      </c>
    </row>
    <row r="18" spans="1:3" ht="45">
      <c r="A18" s="25" t="s">
        <v>169</v>
      </c>
      <c r="B18" t="s">
        <v>92</v>
      </c>
      <c r="C18" t="s">
        <v>56</v>
      </c>
    </row>
    <row r="19" spans="1:3" ht="15">
      <c r="A19" s="24" t="s">
        <v>98</v>
      </c>
      <c r="B19">
        <f>DryEarlyNumCurrentInt</f>
        <v>0</v>
      </c>
      <c r="C19">
        <f>DryEarlyNumTargetInt</f>
        <v>0</v>
      </c>
    </row>
    <row r="20" spans="1:3" ht="15">
      <c r="A20" s="22" t="s">
        <v>97</v>
      </c>
      <c r="B20">
        <f>MonthsDryEarlyCurrentInt</f>
        <v>0</v>
      </c>
      <c r="C20">
        <f>MonthsDryEarlyTargetInt</f>
        <v>0</v>
      </c>
    </row>
    <row r="21" spans="1:3" ht="30">
      <c r="A21" s="1" t="s">
        <v>129</v>
      </c>
      <c r="B21" s="9">
        <f>ProdLateLactAve</f>
        <v>0.8</v>
      </c>
      <c r="C21" s="9">
        <f>ProdLateLactAve</f>
        <v>0.8</v>
      </c>
    </row>
    <row r="22" spans="1:3" ht="15">
      <c r="A22" s="22" t="s">
        <v>170</v>
      </c>
      <c r="B22" s="11">
        <f>B19*B20*ProdDailyMSCurrentBas*30.5*B21*Payout</f>
        <v>0</v>
      </c>
      <c r="C22" s="11">
        <f>C19*C20*ProdDailyMSTargetBas*30.5*C21*Payout</f>
        <v>0</v>
      </c>
    </row>
    <row r="23" spans="1:3" ht="30">
      <c r="A23" s="1" t="s">
        <v>168</v>
      </c>
      <c r="B23">
        <f>DaysTempWithholdCurrentInt</f>
        <v>0</v>
      </c>
      <c r="C23">
        <f>DaysTempWithholdTargetInt</f>
        <v>0</v>
      </c>
    </row>
    <row r="24" spans="1:3" ht="15">
      <c r="A24" s="22" t="s">
        <v>172</v>
      </c>
      <c r="B24" s="8">
        <f>B23*ProdDailyMSCurrentBas*Payout</f>
        <v>0</v>
      </c>
      <c r="C24" s="8">
        <f>C23*ProdDailyMSTargetBas*Payout</f>
        <v>0</v>
      </c>
    </row>
    <row r="25" spans="1:3" ht="15">
      <c r="A25" s="1" t="s">
        <v>171</v>
      </c>
      <c r="B25" s="11">
        <f>B22+B24</f>
        <v>0</v>
      </c>
      <c r="C25" s="8">
        <f>C22+C24</f>
        <v>0</v>
      </c>
    </row>
  </sheetData>
  <sheetProtection password="8B19" sheet="1" selectLockedCells="1" selectUnlockedCells="1"/>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25"/>
  <sheetViews>
    <sheetView zoomScalePageLayoutView="0" workbookViewId="0" topLeftCell="A10">
      <selection activeCell="A1" sqref="A1"/>
    </sheetView>
  </sheetViews>
  <sheetFormatPr defaultColWidth="8.8515625" defaultRowHeight="15"/>
  <cols>
    <col min="1" max="1" width="36.140625" style="0" bestFit="1" customWidth="1"/>
    <col min="2" max="2" width="14.28125" style="0" bestFit="1" customWidth="1"/>
    <col min="3" max="3" width="13.8515625" style="0" customWidth="1"/>
    <col min="4" max="4" width="7.140625" style="0" bestFit="1" customWidth="1"/>
    <col min="5" max="5" width="11.140625" style="0" bestFit="1" customWidth="1"/>
    <col min="6" max="6" width="7.7109375" style="0" bestFit="1" customWidth="1"/>
    <col min="7" max="7" width="11.140625" style="0" bestFit="1" customWidth="1"/>
    <col min="8" max="8" width="7.7109375" style="0" bestFit="1" customWidth="1"/>
    <col min="9" max="9" width="11.140625" style="0" bestFit="1" customWidth="1"/>
    <col min="10" max="10" width="10.7109375" style="0" customWidth="1"/>
    <col min="11" max="11" width="11.140625" style="0" bestFit="1" customWidth="1"/>
    <col min="12" max="12" width="7.140625" style="0" bestFit="1" customWidth="1"/>
    <col min="13" max="13" width="10.140625" style="0" bestFit="1" customWidth="1"/>
  </cols>
  <sheetData>
    <row r="1" spans="1:2" ht="45">
      <c r="A1" s="1" t="s">
        <v>158</v>
      </c>
      <c r="B1" s="39">
        <f>ProdLossSubclinMast</f>
        <v>0.021</v>
      </c>
    </row>
    <row r="2" spans="1:3" ht="15">
      <c r="A2" s="1" t="s">
        <v>117</v>
      </c>
      <c r="B2" s="21">
        <f>(LOG(BMSCCAveCurrent/100,2)*ProdLossSubclinMast)</f>
        <v>0.03328421251514428</v>
      </c>
      <c r="C2" s="21">
        <f>(LOG(BMSCCAveTarget/100,2)*ProdLossSubclinMast)</f>
        <v>0.01228421251514428</v>
      </c>
    </row>
    <row r="3" spans="1:3" ht="15">
      <c r="A3" s="1" t="s">
        <v>118</v>
      </c>
      <c r="B3">
        <f>ROUND(B2*'DataInputBasic '!C21,0)</f>
        <v>5825</v>
      </c>
      <c r="C3">
        <f>ROUND(C2*'DataInputBasic '!D21,0)</f>
        <v>2150</v>
      </c>
    </row>
    <row r="4" spans="1:3" ht="15">
      <c r="A4" s="1" t="s">
        <v>119</v>
      </c>
      <c r="B4" s="11">
        <f>B3*Payout</f>
        <v>37862.5</v>
      </c>
      <c r="C4" s="11">
        <f>C3*Payout</f>
        <v>13975</v>
      </c>
    </row>
    <row r="5" spans="1:3" ht="15">
      <c r="A5" s="1"/>
      <c r="B5" s="11"/>
      <c r="C5" s="11"/>
    </row>
    <row r="6" ht="30">
      <c r="A6" s="1" t="s">
        <v>122</v>
      </c>
    </row>
    <row r="7" spans="1:16" ht="15">
      <c r="A7" s="5" t="s">
        <v>17</v>
      </c>
      <c r="B7" s="6" t="s">
        <v>18</v>
      </c>
      <c r="C7" s="6" t="s">
        <v>35</v>
      </c>
      <c r="D7" s="6" t="s">
        <v>26</v>
      </c>
      <c r="E7" s="6" t="s">
        <v>36</v>
      </c>
      <c r="F7" s="6" t="s">
        <v>27</v>
      </c>
      <c r="G7" s="6" t="s">
        <v>37</v>
      </c>
      <c r="H7" s="6" t="s">
        <v>28</v>
      </c>
      <c r="I7" s="6" t="s">
        <v>38</v>
      </c>
      <c r="J7" s="6" t="s">
        <v>34</v>
      </c>
      <c r="K7" s="6" t="s">
        <v>39</v>
      </c>
      <c r="L7" s="6" t="s">
        <v>48</v>
      </c>
      <c r="M7" s="6" t="s">
        <v>49</v>
      </c>
      <c r="N7" s="6" t="s">
        <v>24</v>
      </c>
      <c r="P7" s="6"/>
    </row>
    <row r="8" spans="1:14" ht="15">
      <c r="A8" s="4" t="s">
        <v>10</v>
      </c>
      <c r="B8" t="s">
        <v>19</v>
      </c>
      <c r="C8">
        <v>-0.05</v>
      </c>
      <c r="D8" t="s">
        <v>29</v>
      </c>
      <c r="E8">
        <v>-0.1</v>
      </c>
      <c r="F8" t="s">
        <v>30</v>
      </c>
      <c r="G8">
        <v>-0.30000000000000004</v>
      </c>
      <c r="H8" t="s">
        <v>31</v>
      </c>
      <c r="I8">
        <v>-1</v>
      </c>
      <c r="J8" t="s">
        <v>60</v>
      </c>
      <c r="L8" t="s">
        <v>60</v>
      </c>
      <c r="N8" t="s">
        <v>25</v>
      </c>
    </row>
    <row r="9" spans="1:14" ht="15">
      <c r="A9" s="4" t="s">
        <v>16</v>
      </c>
      <c r="B9" t="s">
        <v>23</v>
      </c>
      <c r="C9">
        <v>-0.005</v>
      </c>
      <c r="D9" t="s">
        <v>32</v>
      </c>
      <c r="E9">
        <v>-0.01</v>
      </c>
      <c r="F9" t="s">
        <v>33</v>
      </c>
      <c r="G9">
        <v>-0.060000000000000005</v>
      </c>
      <c r="H9" t="s">
        <v>40</v>
      </c>
      <c r="I9">
        <v>-0.11</v>
      </c>
      <c r="J9" t="s">
        <v>60</v>
      </c>
      <c r="L9" t="s">
        <v>60</v>
      </c>
      <c r="N9" t="s">
        <v>25</v>
      </c>
    </row>
    <row r="10" spans="1:14" ht="15">
      <c r="A10" s="4" t="s">
        <v>13</v>
      </c>
      <c r="B10" t="s">
        <v>21</v>
      </c>
      <c r="C10">
        <v>-0.03</v>
      </c>
      <c r="D10" t="s">
        <v>41</v>
      </c>
      <c r="E10">
        <v>-0.06</v>
      </c>
      <c r="F10" t="s">
        <v>43</v>
      </c>
      <c r="G10">
        <v>-0.6599999999999999</v>
      </c>
      <c r="H10" t="s">
        <v>44</v>
      </c>
      <c r="I10">
        <v>-2.06</v>
      </c>
      <c r="J10" t="s">
        <v>60</v>
      </c>
      <c r="L10" t="s">
        <v>60</v>
      </c>
      <c r="N10" t="s">
        <v>42</v>
      </c>
    </row>
    <row r="11" spans="1:14" ht="15">
      <c r="A11" s="4" t="s">
        <v>15</v>
      </c>
      <c r="B11" t="s">
        <v>22</v>
      </c>
      <c r="C11">
        <v>-0.1</v>
      </c>
      <c r="D11" t="s">
        <v>60</v>
      </c>
      <c r="F11" t="s">
        <v>60</v>
      </c>
      <c r="H11" t="s">
        <v>60</v>
      </c>
      <c r="J11" t="s">
        <v>60</v>
      </c>
      <c r="L11" t="s">
        <v>60</v>
      </c>
      <c r="N11" t="s">
        <v>25</v>
      </c>
    </row>
    <row r="12" spans="1:14" ht="15">
      <c r="A12" s="4" t="s">
        <v>12</v>
      </c>
      <c r="B12" t="s">
        <v>20</v>
      </c>
      <c r="C12">
        <v>-0.035</v>
      </c>
      <c r="D12" t="s">
        <v>45</v>
      </c>
      <c r="E12">
        <v>-0.07</v>
      </c>
      <c r="F12" t="s">
        <v>46</v>
      </c>
      <c r="G12">
        <v>-0.37</v>
      </c>
      <c r="H12" t="s">
        <v>47</v>
      </c>
      <c r="I12">
        <v>-2.07</v>
      </c>
      <c r="J12" t="s">
        <v>30</v>
      </c>
      <c r="K12">
        <v>-3.57</v>
      </c>
      <c r="L12" t="s">
        <v>50</v>
      </c>
      <c r="M12">
        <v>-7.07</v>
      </c>
      <c r="N12" t="s">
        <v>42</v>
      </c>
    </row>
    <row r="13" spans="1:14" ht="15">
      <c r="A13" s="4" t="s">
        <v>14</v>
      </c>
      <c r="B13" t="s">
        <v>22</v>
      </c>
      <c r="C13">
        <v>-0.1</v>
      </c>
      <c r="D13" t="s">
        <v>60</v>
      </c>
      <c r="F13" t="s">
        <v>60</v>
      </c>
      <c r="H13" t="s">
        <v>60</v>
      </c>
      <c r="J13" t="s">
        <v>60</v>
      </c>
      <c r="L13" t="s">
        <v>60</v>
      </c>
      <c r="N13" t="s">
        <v>25</v>
      </c>
    </row>
    <row r="15" ht="15">
      <c r="A15" s="29">
        <v>1</v>
      </c>
    </row>
    <row r="16" ht="15">
      <c r="A16" s="29" t="str">
        <f>INDEX(A8:A13,A15)</f>
        <v>Fonterra</v>
      </c>
    </row>
    <row r="18" spans="1:3" ht="45">
      <c r="A18" s="25" t="s">
        <v>169</v>
      </c>
      <c r="B18" t="s">
        <v>92</v>
      </c>
      <c r="C18" t="s">
        <v>56</v>
      </c>
    </row>
    <row r="19" spans="1:3" ht="15">
      <c r="A19" s="24" t="s">
        <v>98</v>
      </c>
      <c r="B19">
        <f>DryEarlyNumCurrentAdv</f>
        <v>20</v>
      </c>
      <c r="C19">
        <f>DryEarlyNumTargetAdv</f>
        <v>10</v>
      </c>
    </row>
    <row r="20" spans="1:3" ht="15">
      <c r="A20" s="22" t="s">
        <v>97</v>
      </c>
      <c r="B20">
        <f>MonthsDryEarlyCurrentAdv</f>
        <v>1</v>
      </c>
      <c r="C20">
        <f>MonthsDryEarlyTargetAdv</f>
        <v>1</v>
      </c>
    </row>
    <row r="21" spans="1:3" ht="30">
      <c r="A21" s="1" t="s">
        <v>129</v>
      </c>
      <c r="B21" s="9">
        <f>ProdLateLactAve</f>
        <v>0.8</v>
      </c>
      <c r="C21" s="9">
        <f>ProdLateLactAve</f>
        <v>0.8</v>
      </c>
    </row>
    <row r="22" spans="1:3" ht="15">
      <c r="A22" s="22" t="s">
        <v>170</v>
      </c>
      <c r="B22" s="11">
        <f>B19*B20*ProdDailyMSCurrentBas*30.5*B21*Payout</f>
        <v>4111.851851851852</v>
      </c>
      <c r="C22" s="11">
        <f>C19*C20*ProdDailyMSTargetBas*30.5*C21*Payout</f>
        <v>2055.925925925926</v>
      </c>
    </row>
    <row r="23" spans="1:3" ht="30">
      <c r="A23" s="1" t="s">
        <v>168</v>
      </c>
      <c r="B23">
        <f>DaysTempWithholdCurrentAdv</f>
        <v>30</v>
      </c>
      <c r="C23">
        <f>DaysTempWithholdTargetAdv</f>
        <v>10</v>
      </c>
    </row>
    <row r="24" spans="1:3" ht="15">
      <c r="A24" s="22" t="s">
        <v>172</v>
      </c>
      <c r="B24" s="8">
        <f>B23*ProdDailyMSCurrentBas*Payout</f>
        <v>252.77777777777777</v>
      </c>
      <c r="C24" s="8">
        <f>C23*ProdDailyMSTargetBas*Payout</f>
        <v>84.25925925925925</v>
      </c>
    </row>
    <row r="25" spans="1:3" ht="15">
      <c r="A25" s="1" t="s">
        <v>171</v>
      </c>
      <c r="B25" s="11">
        <f>B22+B24</f>
        <v>4364.62962962963</v>
      </c>
      <c r="C25" s="8">
        <f>C22+C24</f>
        <v>2140.185185185185</v>
      </c>
    </row>
  </sheetData>
  <sheetProtection password="8B19" sheet="1" selectLockedCells="1" selectUnlockedCells="1"/>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P124"/>
  <sheetViews>
    <sheetView zoomScale="90" zoomScaleNormal="90" zoomScalePageLayoutView="0" workbookViewId="0" topLeftCell="A1">
      <selection activeCell="A1" sqref="A1"/>
    </sheetView>
  </sheetViews>
  <sheetFormatPr defaultColWidth="8.8515625" defaultRowHeight="15"/>
  <cols>
    <col min="1" max="1" width="29.421875" style="0" customWidth="1"/>
    <col min="2" max="2" width="15.28125" style="0" customWidth="1"/>
    <col min="3" max="3" width="9.8515625" style="0" customWidth="1"/>
    <col min="4" max="4" width="8.8515625" style="0" customWidth="1"/>
    <col min="5" max="5" width="11.28125" style="0" customWidth="1"/>
    <col min="6" max="6" width="10.140625" style="0" customWidth="1"/>
    <col min="7" max="7" width="10.00390625" style="0" customWidth="1"/>
    <col min="8" max="9" width="10.421875" style="0" customWidth="1"/>
    <col min="10" max="10" width="11.421875" style="0" customWidth="1"/>
    <col min="11" max="11" width="10.421875" style="0" customWidth="1"/>
    <col min="12" max="12" width="11.28125" style="0" customWidth="1"/>
    <col min="13" max="14" width="8.8515625" style="0" customWidth="1"/>
    <col min="15" max="15" width="11.28125" style="0" customWidth="1"/>
    <col min="16" max="16" width="22.421875" style="0" customWidth="1"/>
  </cols>
  <sheetData>
    <row r="1" spans="2:3" ht="15">
      <c r="B1" t="s">
        <v>92</v>
      </c>
      <c r="C1" t="s">
        <v>56</v>
      </c>
    </row>
    <row r="2" ht="15">
      <c r="A2" s="2" t="s">
        <v>5</v>
      </c>
    </row>
    <row r="3" ht="15">
      <c r="A3" s="2" t="s">
        <v>6</v>
      </c>
    </row>
    <row r="4" ht="15">
      <c r="A4" s="2" t="s">
        <v>7</v>
      </c>
    </row>
    <row r="5" ht="45">
      <c r="A5" s="3" t="s">
        <v>53</v>
      </c>
    </row>
    <row r="6" ht="15">
      <c r="A6" s="3" t="s">
        <v>8</v>
      </c>
    </row>
    <row r="7" ht="15">
      <c r="A7" s="6"/>
    </row>
    <row r="8" ht="15">
      <c r="A8" t="s">
        <v>54</v>
      </c>
    </row>
    <row r="9" spans="1:3" ht="15">
      <c r="A9" t="s">
        <v>55</v>
      </c>
      <c r="B9">
        <f>J96</f>
        <v>5.25</v>
      </c>
      <c r="C9">
        <f>B9</f>
        <v>5.25</v>
      </c>
    </row>
    <row r="10" spans="1:3" ht="15">
      <c r="A10" t="s">
        <v>136</v>
      </c>
      <c r="B10">
        <f>ProdCurrent/CalvedNoTotalCurrent</f>
        <v>350</v>
      </c>
      <c r="C10">
        <f>ProdTarget/CalvedNoTotalTarget</f>
        <v>350</v>
      </c>
    </row>
    <row r="11" spans="1:3" ht="15">
      <c r="A11" t="s">
        <v>58</v>
      </c>
      <c r="B11" s="4">
        <f>LactDaysAve</f>
        <v>270</v>
      </c>
      <c r="C11">
        <f>LactDaysAve</f>
        <v>270</v>
      </c>
    </row>
    <row r="12" spans="1:3" ht="15">
      <c r="A12" t="s">
        <v>134</v>
      </c>
      <c r="B12" s="30">
        <f>B10/B11</f>
        <v>1.2962962962962963</v>
      </c>
      <c r="C12" s="30">
        <f>C10/C11</f>
        <v>1.2962962962962963</v>
      </c>
    </row>
    <row r="13" spans="1:12" ht="90">
      <c r="A13" s="1" t="s">
        <v>57</v>
      </c>
      <c r="B13" s="1" t="s">
        <v>192</v>
      </c>
      <c r="C13" s="1" t="s">
        <v>193</v>
      </c>
      <c r="D13" t="s">
        <v>59</v>
      </c>
      <c r="E13" s="1" t="s">
        <v>88</v>
      </c>
      <c r="F13" s="1" t="s">
        <v>137</v>
      </c>
      <c r="G13" s="1" t="s">
        <v>138</v>
      </c>
      <c r="H13" s="1" t="s">
        <v>139</v>
      </c>
      <c r="I13" s="1" t="s">
        <v>140</v>
      </c>
      <c r="J13" s="1" t="s">
        <v>120</v>
      </c>
      <c r="K13" s="1" t="s">
        <v>141</v>
      </c>
      <c r="L13" s="1" t="s">
        <v>121</v>
      </c>
    </row>
    <row r="14" spans="1:16" ht="15">
      <c r="A14">
        <v>1</v>
      </c>
      <c r="B14">
        <f>'DataInputBasic '!C40</f>
        <v>0</v>
      </c>
      <c r="C14">
        <f>'DataInputBasic '!D40</f>
        <v>0</v>
      </c>
      <c r="D14">
        <f>B14-C14</f>
        <v>0</v>
      </c>
      <c r="E14" s="7">
        <v>1.007042253521127</v>
      </c>
      <c r="F14" s="28">
        <f>B14*$B$9*($B$10/$B$11)*E14</f>
        <v>0</v>
      </c>
      <c r="G14" s="28">
        <f>C14*$B$9*($B$10/$B$11)*E14</f>
        <v>0</v>
      </c>
      <c r="H14" s="28">
        <f>F14-G14</f>
        <v>0</v>
      </c>
      <c r="I14" s="28">
        <f>$B$10*B14*$B$114</f>
        <v>0</v>
      </c>
      <c r="J14" s="28">
        <f>$B$10*C14*$B$114</f>
        <v>0</v>
      </c>
      <c r="K14" s="28">
        <f>I14-F14</f>
        <v>0</v>
      </c>
      <c r="L14" s="28">
        <f>J14-G14</f>
        <v>0</v>
      </c>
      <c r="N14" s="32"/>
      <c r="P14" s="33"/>
    </row>
    <row r="15" spans="1:16" ht="15">
      <c r="A15">
        <v>2</v>
      </c>
      <c r="B15">
        <f>'DataInputBasic '!C41</f>
        <v>0</v>
      </c>
      <c r="C15">
        <f>'DataInputBasic '!D41</f>
        <v>0</v>
      </c>
      <c r="D15">
        <f aca="true" t="shared" si="0" ref="D15:D24">B15-C15</f>
        <v>0</v>
      </c>
      <c r="E15" s="7">
        <v>1.1338028169014085</v>
      </c>
      <c r="F15" s="28">
        <f aca="true" t="shared" si="1" ref="F15:F24">B15*$B$9*($B$10/$B$11)*E15</f>
        <v>0</v>
      </c>
      <c r="G15" s="28">
        <f aca="true" t="shared" si="2" ref="G15:G24">C15*$B$9*($B$10/$B$11)*E15</f>
        <v>0</v>
      </c>
      <c r="H15" s="28">
        <f aca="true" t="shared" si="3" ref="H15:H25">F15-G15</f>
        <v>0</v>
      </c>
      <c r="I15" s="28">
        <f aca="true" t="shared" si="4" ref="I15:J25">$B$10*B15*$B$114</f>
        <v>0</v>
      </c>
      <c r="J15" s="28">
        <f t="shared" si="4"/>
        <v>0</v>
      </c>
      <c r="K15" s="28">
        <f aca="true" t="shared" si="5" ref="K15:L25">I15-F15</f>
        <v>0</v>
      </c>
      <c r="L15" s="28">
        <f t="shared" si="5"/>
        <v>0</v>
      </c>
      <c r="N15" s="32"/>
      <c r="P15" s="33"/>
    </row>
    <row r="16" spans="1:14" ht="15">
      <c r="A16">
        <v>3</v>
      </c>
      <c r="B16">
        <f>'DataInputBasic '!C42</f>
        <v>0</v>
      </c>
      <c r="C16">
        <f>'DataInputBasic '!D42</f>
        <v>0</v>
      </c>
      <c r="D16">
        <f t="shared" si="0"/>
        <v>0</v>
      </c>
      <c r="E16" s="7">
        <v>1.2112676056338028</v>
      </c>
      <c r="F16" s="28">
        <f t="shared" si="1"/>
        <v>0</v>
      </c>
      <c r="G16" s="28">
        <f t="shared" si="2"/>
        <v>0</v>
      </c>
      <c r="H16" s="28">
        <f t="shared" si="3"/>
        <v>0</v>
      </c>
      <c r="I16" s="28">
        <f t="shared" si="4"/>
        <v>0</v>
      </c>
      <c r="J16" s="28">
        <f t="shared" si="4"/>
        <v>0</v>
      </c>
      <c r="K16" s="28">
        <f t="shared" si="5"/>
        <v>0</v>
      </c>
      <c r="L16" s="28">
        <f t="shared" si="5"/>
        <v>0</v>
      </c>
      <c r="N16" s="32"/>
    </row>
    <row r="17" spans="1:12" ht="15">
      <c r="A17">
        <v>4</v>
      </c>
      <c r="B17">
        <f>'DataInputBasic '!C43</f>
        <v>0</v>
      </c>
      <c r="C17">
        <f>'DataInputBasic '!D43</f>
        <v>0</v>
      </c>
      <c r="D17">
        <f t="shared" si="0"/>
        <v>0</v>
      </c>
      <c r="E17" s="7">
        <v>1.2112676056338028</v>
      </c>
      <c r="F17" s="28">
        <f t="shared" si="1"/>
        <v>0</v>
      </c>
      <c r="G17" s="28">
        <f t="shared" si="2"/>
        <v>0</v>
      </c>
      <c r="H17" s="28">
        <f t="shared" si="3"/>
        <v>0</v>
      </c>
      <c r="I17" s="28">
        <f t="shared" si="4"/>
        <v>0</v>
      </c>
      <c r="J17" s="28">
        <f t="shared" si="4"/>
        <v>0</v>
      </c>
      <c r="K17" s="28">
        <f t="shared" si="5"/>
        <v>0</v>
      </c>
      <c r="L17" s="28">
        <f t="shared" si="5"/>
        <v>0</v>
      </c>
    </row>
    <row r="18" spans="1:12" ht="15">
      <c r="A18">
        <v>5</v>
      </c>
      <c r="B18">
        <f>'DataInputBasic '!C44</f>
        <v>0</v>
      </c>
      <c r="C18">
        <f>'DataInputBasic '!D44</f>
        <v>0</v>
      </c>
      <c r="D18">
        <f t="shared" si="0"/>
        <v>0</v>
      </c>
      <c r="E18" s="7">
        <v>1.119718309859155</v>
      </c>
      <c r="F18" s="28">
        <f t="shared" si="1"/>
        <v>0</v>
      </c>
      <c r="G18" s="28">
        <f t="shared" si="2"/>
        <v>0</v>
      </c>
      <c r="H18" s="28">
        <f t="shared" si="3"/>
        <v>0</v>
      </c>
      <c r="I18" s="28">
        <f t="shared" si="4"/>
        <v>0</v>
      </c>
      <c r="J18" s="28">
        <f t="shared" si="4"/>
        <v>0</v>
      </c>
      <c r="K18" s="28">
        <f t="shared" si="5"/>
        <v>0</v>
      </c>
      <c r="L18" s="28">
        <f t="shared" si="5"/>
        <v>0</v>
      </c>
    </row>
    <row r="19" spans="1:12" ht="15">
      <c r="A19">
        <v>6</v>
      </c>
      <c r="B19">
        <f>'DataInputBasic '!C45</f>
        <v>0</v>
      </c>
      <c r="C19">
        <f>'DataInputBasic '!D45</f>
        <v>0</v>
      </c>
      <c r="D19">
        <f t="shared" si="0"/>
        <v>0</v>
      </c>
      <c r="E19" s="7">
        <v>1.0140845070422535</v>
      </c>
      <c r="F19" s="28">
        <f t="shared" si="1"/>
        <v>0</v>
      </c>
      <c r="G19" s="28">
        <f t="shared" si="2"/>
        <v>0</v>
      </c>
      <c r="H19" s="28">
        <f t="shared" si="3"/>
        <v>0</v>
      </c>
      <c r="I19" s="28">
        <f t="shared" si="4"/>
        <v>0</v>
      </c>
      <c r="J19" s="28">
        <f t="shared" si="4"/>
        <v>0</v>
      </c>
      <c r="K19" s="28">
        <f t="shared" si="5"/>
        <v>0</v>
      </c>
      <c r="L19" s="28">
        <f t="shared" si="5"/>
        <v>0</v>
      </c>
    </row>
    <row r="20" spans="1:12" ht="15">
      <c r="A20">
        <v>7</v>
      </c>
      <c r="B20">
        <f>'DataInputBasic '!C46</f>
        <v>0</v>
      </c>
      <c r="C20">
        <f>'DataInputBasic '!D46</f>
        <v>0</v>
      </c>
      <c r="D20">
        <f t="shared" si="0"/>
        <v>0</v>
      </c>
      <c r="E20" s="7">
        <v>0.9366197183098592</v>
      </c>
      <c r="F20" s="28">
        <f t="shared" si="1"/>
        <v>0</v>
      </c>
      <c r="G20" s="28">
        <f t="shared" si="2"/>
        <v>0</v>
      </c>
      <c r="H20" s="28">
        <f t="shared" si="3"/>
        <v>0</v>
      </c>
      <c r="I20" s="28">
        <f t="shared" si="4"/>
        <v>0</v>
      </c>
      <c r="J20" s="28">
        <f t="shared" si="4"/>
        <v>0</v>
      </c>
      <c r="K20" s="28">
        <f t="shared" si="5"/>
        <v>0</v>
      </c>
      <c r="L20" s="28">
        <f t="shared" si="5"/>
        <v>0</v>
      </c>
    </row>
    <row r="21" spans="1:12" ht="15">
      <c r="A21">
        <v>8</v>
      </c>
      <c r="B21">
        <f>'DataInputBasic '!C47</f>
        <v>0</v>
      </c>
      <c r="C21">
        <f>'DataInputBasic '!D47</f>
        <v>0</v>
      </c>
      <c r="D21">
        <f t="shared" si="0"/>
        <v>0</v>
      </c>
      <c r="E21" s="7">
        <v>0.8028169014084509</v>
      </c>
      <c r="F21" s="28">
        <f t="shared" si="1"/>
        <v>0</v>
      </c>
      <c r="G21" s="28">
        <f t="shared" si="2"/>
        <v>0</v>
      </c>
      <c r="H21" s="28">
        <f t="shared" si="3"/>
        <v>0</v>
      </c>
      <c r="I21" s="28">
        <f t="shared" si="4"/>
        <v>0</v>
      </c>
      <c r="J21" s="28">
        <f t="shared" si="4"/>
        <v>0</v>
      </c>
      <c r="K21" s="28">
        <f t="shared" si="5"/>
        <v>0</v>
      </c>
      <c r="L21" s="28">
        <f t="shared" si="5"/>
        <v>0</v>
      </c>
    </row>
    <row r="22" spans="1:12" ht="15">
      <c r="A22">
        <v>9</v>
      </c>
      <c r="B22">
        <f>'DataInputBasic '!C48</f>
        <v>0</v>
      </c>
      <c r="C22">
        <f>'DataInputBasic '!D48</f>
        <v>0</v>
      </c>
      <c r="D22">
        <f t="shared" si="0"/>
        <v>0</v>
      </c>
      <c r="E22" s="7">
        <v>0.823943661971831</v>
      </c>
      <c r="F22" s="28">
        <f t="shared" si="1"/>
        <v>0</v>
      </c>
      <c r="G22" s="28">
        <f t="shared" si="2"/>
        <v>0</v>
      </c>
      <c r="H22" s="28">
        <f t="shared" si="3"/>
        <v>0</v>
      </c>
      <c r="I22" s="28">
        <f t="shared" si="4"/>
        <v>0</v>
      </c>
      <c r="J22" s="28">
        <f t="shared" si="4"/>
        <v>0</v>
      </c>
      <c r="K22" s="28">
        <f t="shared" si="5"/>
        <v>0</v>
      </c>
      <c r="L22" s="28">
        <f t="shared" si="5"/>
        <v>0</v>
      </c>
    </row>
    <row r="23" spans="1:12" ht="15">
      <c r="A23">
        <v>10</v>
      </c>
      <c r="B23">
        <f>'DataInputBasic '!C49</f>
        <v>0</v>
      </c>
      <c r="C23">
        <f>'DataInputBasic '!D49</f>
        <v>0</v>
      </c>
      <c r="D23">
        <f t="shared" si="0"/>
        <v>0</v>
      </c>
      <c r="E23" s="7">
        <v>0.7605633802816902</v>
      </c>
      <c r="F23" s="28">
        <f t="shared" si="1"/>
        <v>0</v>
      </c>
      <c r="G23" s="28">
        <f t="shared" si="2"/>
        <v>0</v>
      </c>
      <c r="H23" s="28">
        <f t="shared" si="3"/>
        <v>0</v>
      </c>
      <c r="I23" s="28">
        <f t="shared" si="4"/>
        <v>0</v>
      </c>
      <c r="J23" s="28">
        <f t="shared" si="4"/>
        <v>0</v>
      </c>
      <c r="K23" s="28">
        <f t="shared" si="5"/>
        <v>0</v>
      </c>
      <c r="L23" s="28">
        <f t="shared" si="5"/>
        <v>0</v>
      </c>
    </row>
    <row r="24" spans="1:12" ht="15">
      <c r="A24">
        <v>11</v>
      </c>
      <c r="B24">
        <f>'DataInputBasic '!C50</f>
        <v>0</v>
      </c>
      <c r="C24">
        <f>'DataInputBasic '!D50</f>
        <v>0</v>
      </c>
      <c r="D24">
        <f t="shared" si="0"/>
        <v>0</v>
      </c>
      <c r="E24" s="7">
        <v>0.8309859154929579</v>
      </c>
      <c r="F24" s="28">
        <f t="shared" si="1"/>
        <v>0</v>
      </c>
      <c r="G24" s="28">
        <f t="shared" si="2"/>
        <v>0</v>
      </c>
      <c r="H24" s="28">
        <f t="shared" si="3"/>
        <v>0</v>
      </c>
      <c r="I24" s="28">
        <f t="shared" si="4"/>
        <v>0</v>
      </c>
      <c r="J24" s="28">
        <f t="shared" si="4"/>
        <v>0</v>
      </c>
      <c r="K24" s="28">
        <f t="shared" si="5"/>
        <v>0</v>
      </c>
      <c r="L24" s="28">
        <f t="shared" si="5"/>
        <v>0</v>
      </c>
    </row>
    <row r="25" spans="1:12" ht="15">
      <c r="A25" t="s">
        <v>201</v>
      </c>
      <c r="B25" s="38">
        <f>CMMilkingCurrentBas</f>
        <v>72</v>
      </c>
      <c r="C25" s="38">
        <f>CMMilkingTargetBas</f>
        <v>38</v>
      </c>
      <c r="E25" s="9">
        <f>AVERAGE(E14:E24)</f>
        <v>0.9865556978233037</v>
      </c>
      <c r="F25" s="28">
        <f>B25*$B$9*$B$12*E25</f>
        <v>483.41229193341877</v>
      </c>
      <c r="G25" s="28">
        <f>C25*$C$9*$C$12*E25</f>
        <v>255.13426518708212</v>
      </c>
      <c r="H25" s="28">
        <f t="shared" si="3"/>
        <v>228.27802674633665</v>
      </c>
      <c r="I25" s="28">
        <f t="shared" si="4"/>
        <v>831.6</v>
      </c>
      <c r="J25" s="28">
        <f t="shared" si="4"/>
        <v>438.90000000000003</v>
      </c>
      <c r="K25" s="28">
        <f t="shared" si="5"/>
        <v>348.18770806658125</v>
      </c>
      <c r="L25" s="28">
        <f t="shared" si="5"/>
        <v>183.7657348129179</v>
      </c>
    </row>
    <row r="26" spans="1:3" ht="15">
      <c r="A26" t="s">
        <v>202</v>
      </c>
      <c r="B26">
        <f>CMDryCurrentBas</f>
        <v>3</v>
      </c>
      <c r="C26">
        <f>CMDryTargetBas</f>
        <v>1</v>
      </c>
    </row>
    <row r="27" spans="1:10" ht="15">
      <c r="A27" s="12" t="s">
        <v>64</v>
      </c>
      <c r="B27" s="12" t="s">
        <v>65</v>
      </c>
      <c r="C27" s="12" t="s">
        <v>66</v>
      </c>
      <c r="D27" s="12" t="s">
        <v>67</v>
      </c>
      <c r="E27" s="12" t="s">
        <v>68</v>
      </c>
      <c r="F27" s="12" t="s">
        <v>69</v>
      </c>
      <c r="G27" s="18" t="s">
        <v>84</v>
      </c>
      <c r="I27" s="20" t="s">
        <v>84</v>
      </c>
      <c r="J27" s="20" t="s">
        <v>85</v>
      </c>
    </row>
    <row r="28" spans="1:15" ht="15">
      <c r="A28" s="13">
        <v>1</v>
      </c>
      <c r="B28" s="14" t="s">
        <v>70</v>
      </c>
      <c r="C28" s="13">
        <v>4</v>
      </c>
      <c r="D28" s="13">
        <v>48</v>
      </c>
      <c r="E28" s="13">
        <v>12</v>
      </c>
      <c r="F28" s="13">
        <v>3</v>
      </c>
      <c r="G28">
        <f>(((F28-1)*E28+D28)/24)+0.5</f>
        <v>3.5</v>
      </c>
      <c r="I28">
        <f>IF(B59=1,G28,IF(B59=2,G29,IF(B59=3,G30,IF(B59=4,G31,IF(B59=5,G32,IF(B59=6,G33,IF(B59=7,G34,L28)))))))</f>
        <v>5</v>
      </c>
      <c r="J28">
        <f>IF(I63=0,I28,I28*CMTreatProd1PercentBas)</f>
        <v>2.5</v>
      </c>
      <c r="L28">
        <f>IF(B59=8,G35,IF(B59=9,G36,IF(B59=10,G37,IF(B59=11,G38,IF(B59=12,G39,IF(B59=13,G40,IF(B59=14,G41,M28)))))))</f>
        <v>0</v>
      </c>
      <c r="M28">
        <f>IF(B59=15,G42,IF(B59=16,G43,IF(B59=17,G44,IF(B59=18,G45,IF(B59=19,G46,IF(B59=20,G47,IF(B59=21,G48,N28)))))))</f>
        <v>0</v>
      </c>
      <c r="N28">
        <f>IF(B59=22,G49,IF(B59=23,G50,IF(B59=24,G51,IF(B59=25,G52,IF(B59=26,G53,IF(B59=27,G54,O28))))))</f>
        <v>0</v>
      </c>
      <c r="O28">
        <f>IF(B59=28,G55,0)</f>
        <v>0</v>
      </c>
    </row>
    <row r="29" spans="1:7" ht="15">
      <c r="A29" s="13">
        <v>2</v>
      </c>
      <c r="B29" s="14" t="s">
        <v>80</v>
      </c>
      <c r="C29" s="17">
        <v>7</v>
      </c>
      <c r="D29" s="13">
        <v>84</v>
      </c>
      <c r="E29" s="13">
        <v>12</v>
      </c>
      <c r="F29" s="16">
        <v>3</v>
      </c>
      <c r="G29">
        <f aca="true" t="shared" si="6" ref="G29:G50">(((F29-1)*E29+D29)/24)+0.5</f>
        <v>5</v>
      </c>
    </row>
    <row r="30" spans="1:7" ht="15">
      <c r="A30" s="13">
        <v>3</v>
      </c>
      <c r="B30" s="14" t="s">
        <v>71</v>
      </c>
      <c r="C30" s="16"/>
      <c r="D30" s="13">
        <v>96</v>
      </c>
      <c r="E30" s="13">
        <v>24</v>
      </c>
      <c r="F30" s="13">
        <v>3</v>
      </c>
      <c r="G30">
        <f t="shared" si="6"/>
        <v>6.5</v>
      </c>
    </row>
    <row r="31" spans="1:7" ht="15">
      <c r="A31" s="13">
        <v>4</v>
      </c>
      <c r="B31" s="14" t="s">
        <v>72</v>
      </c>
      <c r="C31" s="17">
        <v>8</v>
      </c>
      <c r="D31" s="13">
        <v>96</v>
      </c>
      <c r="E31" s="13">
        <v>12</v>
      </c>
      <c r="F31" s="13">
        <v>3</v>
      </c>
      <c r="G31">
        <f t="shared" si="6"/>
        <v>5.5</v>
      </c>
    </row>
    <row r="32" spans="1:7" ht="15">
      <c r="A32" s="13">
        <v>5</v>
      </c>
      <c r="B32" s="34" t="s">
        <v>182</v>
      </c>
      <c r="C32" s="17">
        <v>8</v>
      </c>
      <c r="D32" s="13">
        <v>96</v>
      </c>
      <c r="E32" s="13">
        <v>12</v>
      </c>
      <c r="F32" s="13">
        <v>6</v>
      </c>
      <c r="G32" s="26">
        <f t="shared" si="6"/>
        <v>7</v>
      </c>
    </row>
    <row r="33" spans="1:7" ht="15">
      <c r="A33" s="13">
        <v>6</v>
      </c>
      <c r="B33" s="14" t="s">
        <v>81</v>
      </c>
      <c r="C33" s="17">
        <v>3</v>
      </c>
      <c r="D33" s="13">
        <v>36</v>
      </c>
      <c r="E33" s="13">
        <v>12</v>
      </c>
      <c r="F33" s="16">
        <v>3</v>
      </c>
      <c r="G33">
        <f t="shared" si="6"/>
        <v>3</v>
      </c>
    </row>
    <row r="34" spans="1:7" ht="15">
      <c r="A34" s="13">
        <v>7</v>
      </c>
      <c r="B34" s="14" t="s">
        <v>110</v>
      </c>
      <c r="C34" s="13">
        <v>6</v>
      </c>
      <c r="D34" s="13">
        <v>72</v>
      </c>
      <c r="E34" s="13">
        <v>12</v>
      </c>
      <c r="F34" s="16">
        <v>3</v>
      </c>
      <c r="G34">
        <f t="shared" si="6"/>
        <v>4.5</v>
      </c>
    </row>
    <row r="35" spans="1:7" ht="15">
      <c r="A35" s="13">
        <v>8</v>
      </c>
      <c r="B35" s="34" t="s">
        <v>183</v>
      </c>
      <c r="C35" s="35">
        <v>7</v>
      </c>
      <c r="D35" s="13">
        <v>84</v>
      </c>
      <c r="E35" s="13">
        <v>12</v>
      </c>
      <c r="F35" s="16">
        <v>6</v>
      </c>
      <c r="G35">
        <f t="shared" si="6"/>
        <v>6.5</v>
      </c>
    </row>
    <row r="36" spans="1:7" ht="15">
      <c r="A36" s="13">
        <v>9</v>
      </c>
      <c r="B36" s="14" t="s">
        <v>76</v>
      </c>
      <c r="C36" s="17">
        <v>5</v>
      </c>
      <c r="D36" s="13">
        <v>60</v>
      </c>
      <c r="E36" s="13">
        <v>12</v>
      </c>
      <c r="F36" s="16">
        <v>3</v>
      </c>
      <c r="G36">
        <f t="shared" si="6"/>
        <v>4</v>
      </c>
    </row>
    <row r="37" spans="1:7" ht="15">
      <c r="A37" s="13">
        <v>10</v>
      </c>
      <c r="B37" s="34" t="s">
        <v>180</v>
      </c>
      <c r="C37" s="17">
        <v>4</v>
      </c>
      <c r="D37" s="13">
        <v>96</v>
      </c>
      <c r="E37" s="13">
        <v>24</v>
      </c>
      <c r="F37" s="16">
        <v>3</v>
      </c>
      <c r="G37">
        <f t="shared" si="6"/>
        <v>6.5</v>
      </c>
    </row>
    <row r="38" spans="1:7" ht="15">
      <c r="A38" s="13">
        <v>11</v>
      </c>
      <c r="B38" s="14" t="s">
        <v>108</v>
      </c>
      <c r="C38" s="16"/>
      <c r="D38" s="13">
        <v>48</v>
      </c>
      <c r="E38" s="13">
        <v>24</v>
      </c>
      <c r="F38" s="13">
        <v>2</v>
      </c>
      <c r="G38">
        <f t="shared" si="6"/>
        <v>3.5</v>
      </c>
    </row>
    <row r="39" spans="1:7" ht="15">
      <c r="A39" s="13">
        <v>12</v>
      </c>
      <c r="B39" s="14" t="s">
        <v>107</v>
      </c>
      <c r="C39" s="16"/>
      <c r="D39" s="13">
        <v>48</v>
      </c>
      <c r="E39" s="13">
        <v>24</v>
      </c>
      <c r="F39" s="13">
        <v>3</v>
      </c>
      <c r="G39">
        <f t="shared" si="6"/>
        <v>4.5</v>
      </c>
    </row>
    <row r="40" spans="1:7" ht="15">
      <c r="A40" s="13">
        <v>13</v>
      </c>
      <c r="B40" s="14" t="s">
        <v>73</v>
      </c>
      <c r="C40" s="13">
        <v>8</v>
      </c>
      <c r="D40" s="13">
        <v>96</v>
      </c>
      <c r="E40" s="13">
        <v>24</v>
      </c>
      <c r="F40" s="13">
        <v>3</v>
      </c>
      <c r="G40">
        <f t="shared" si="6"/>
        <v>6.5</v>
      </c>
    </row>
    <row r="41" spans="1:7" ht="15">
      <c r="A41" s="13">
        <v>14</v>
      </c>
      <c r="B41" s="14" t="s">
        <v>77</v>
      </c>
      <c r="C41" s="17">
        <v>11</v>
      </c>
      <c r="D41" s="13">
        <v>132</v>
      </c>
      <c r="E41" s="13">
        <v>0</v>
      </c>
      <c r="F41" s="15">
        <v>1</v>
      </c>
      <c r="G41">
        <f t="shared" si="6"/>
        <v>6</v>
      </c>
    </row>
    <row r="42" spans="1:7" ht="15">
      <c r="A42" s="13">
        <v>15</v>
      </c>
      <c r="B42" s="14" t="s">
        <v>111</v>
      </c>
      <c r="C42" s="13">
        <v>7</v>
      </c>
      <c r="D42" s="13">
        <v>84</v>
      </c>
      <c r="E42" s="13">
        <v>12</v>
      </c>
      <c r="F42" s="15">
        <v>3</v>
      </c>
      <c r="G42">
        <f t="shared" si="6"/>
        <v>5</v>
      </c>
    </row>
    <row r="43" spans="1:7" ht="15">
      <c r="A43" s="13">
        <v>16</v>
      </c>
      <c r="B43" s="34" t="s">
        <v>184</v>
      </c>
      <c r="C43" s="13">
        <v>11</v>
      </c>
      <c r="D43" s="13">
        <v>132</v>
      </c>
      <c r="E43" s="13">
        <v>12</v>
      </c>
      <c r="F43" s="15">
        <v>6</v>
      </c>
      <c r="G43" s="26">
        <f t="shared" si="6"/>
        <v>8.5</v>
      </c>
    </row>
    <row r="44" spans="1:7" ht="15">
      <c r="A44" s="13">
        <v>17</v>
      </c>
      <c r="B44" s="14" t="s">
        <v>112</v>
      </c>
      <c r="C44" s="16">
        <v>4</v>
      </c>
      <c r="D44" s="13">
        <v>48</v>
      </c>
      <c r="E44" s="13">
        <v>12</v>
      </c>
      <c r="F44" s="17">
        <v>3</v>
      </c>
      <c r="G44">
        <f t="shared" si="6"/>
        <v>3.5</v>
      </c>
    </row>
    <row r="45" spans="1:7" ht="15">
      <c r="A45" s="13">
        <v>18</v>
      </c>
      <c r="B45" s="14" t="s">
        <v>113</v>
      </c>
      <c r="C45" s="13">
        <v>7</v>
      </c>
      <c r="D45" s="13">
        <v>84</v>
      </c>
      <c r="E45" s="13">
        <v>48</v>
      </c>
      <c r="F45" s="17">
        <v>3</v>
      </c>
      <c r="G45">
        <f t="shared" si="6"/>
        <v>8</v>
      </c>
    </row>
    <row r="46" spans="1:7" ht="15">
      <c r="A46" s="13">
        <v>19</v>
      </c>
      <c r="B46" s="14" t="s">
        <v>109</v>
      </c>
      <c r="C46" s="13">
        <v>7</v>
      </c>
      <c r="D46" s="13">
        <v>84</v>
      </c>
      <c r="E46" s="13">
        <v>48</v>
      </c>
      <c r="F46" s="17">
        <v>3</v>
      </c>
      <c r="G46">
        <f t="shared" si="6"/>
        <v>8</v>
      </c>
    </row>
    <row r="47" spans="1:7" ht="15">
      <c r="A47" s="13">
        <v>20</v>
      </c>
      <c r="B47" s="34" t="s">
        <v>181</v>
      </c>
      <c r="C47" s="13">
        <v>3</v>
      </c>
      <c r="D47" s="13">
        <v>72</v>
      </c>
      <c r="E47" s="13">
        <v>48</v>
      </c>
      <c r="F47" s="17">
        <v>3</v>
      </c>
      <c r="G47">
        <f t="shared" si="6"/>
        <v>7.5</v>
      </c>
    </row>
    <row r="48" spans="1:7" ht="15">
      <c r="A48" s="13">
        <v>21</v>
      </c>
      <c r="B48" s="14" t="s">
        <v>82</v>
      </c>
      <c r="C48" s="13">
        <v>9</v>
      </c>
      <c r="D48" s="13">
        <v>108</v>
      </c>
      <c r="E48" s="13">
        <v>12</v>
      </c>
      <c r="F48" s="15">
        <v>3</v>
      </c>
      <c r="G48">
        <f t="shared" si="6"/>
        <v>6</v>
      </c>
    </row>
    <row r="49" spans="1:7" ht="15">
      <c r="A49" s="13">
        <v>22</v>
      </c>
      <c r="B49" s="14" t="s">
        <v>114</v>
      </c>
      <c r="C49" s="13">
        <v>5</v>
      </c>
      <c r="D49" s="13">
        <v>48</v>
      </c>
      <c r="E49" s="13">
        <v>24</v>
      </c>
      <c r="F49" s="15">
        <v>2</v>
      </c>
      <c r="G49">
        <f t="shared" si="6"/>
        <v>3.5</v>
      </c>
    </row>
    <row r="50" spans="1:7" ht="15">
      <c r="A50" s="13">
        <v>23</v>
      </c>
      <c r="B50" s="14" t="s">
        <v>83</v>
      </c>
      <c r="C50" s="17">
        <v>4</v>
      </c>
      <c r="D50" s="13">
        <v>48</v>
      </c>
      <c r="E50" s="13">
        <v>12</v>
      </c>
      <c r="F50" s="15">
        <v>3</v>
      </c>
      <c r="G50">
        <f t="shared" si="6"/>
        <v>3.5</v>
      </c>
    </row>
    <row r="51" spans="1:7" ht="15">
      <c r="A51" s="13">
        <v>24</v>
      </c>
      <c r="B51" s="14" t="s">
        <v>75</v>
      </c>
      <c r="C51" s="13">
        <v>4</v>
      </c>
      <c r="D51" s="13">
        <v>48</v>
      </c>
      <c r="E51" s="13">
        <v>12</v>
      </c>
      <c r="F51" s="15">
        <v>3</v>
      </c>
      <c r="G51">
        <f>(((F51-1)*E51+D51)/24)+0.5</f>
        <v>3.5</v>
      </c>
    </row>
    <row r="52" spans="1:7" ht="15">
      <c r="A52" s="13">
        <v>25</v>
      </c>
      <c r="B52" s="34" t="s">
        <v>185</v>
      </c>
      <c r="C52" s="13">
        <v>6</v>
      </c>
      <c r="D52" s="13">
        <v>72</v>
      </c>
      <c r="E52" s="13">
        <v>12</v>
      </c>
      <c r="F52" s="15">
        <v>6</v>
      </c>
      <c r="G52">
        <f>(((F52-1)*E52+D52)/24)+0.5</f>
        <v>6</v>
      </c>
    </row>
    <row r="53" spans="1:7" ht="15">
      <c r="A53" s="13">
        <v>26</v>
      </c>
      <c r="B53" s="14" t="s">
        <v>74</v>
      </c>
      <c r="C53" s="16"/>
      <c r="D53" s="13">
        <v>72</v>
      </c>
      <c r="E53" s="13">
        <v>24</v>
      </c>
      <c r="F53" s="15">
        <v>3</v>
      </c>
      <c r="G53">
        <f>(((F53-1)*E53+D53)/24)+0.5</f>
        <v>5.5</v>
      </c>
    </row>
    <row r="54" spans="1:7" ht="15">
      <c r="A54" s="13">
        <v>27</v>
      </c>
      <c r="B54" s="14" t="s">
        <v>78</v>
      </c>
      <c r="C54" s="13">
        <v>6</v>
      </c>
      <c r="D54" s="13">
        <v>72</v>
      </c>
      <c r="E54" s="13">
        <v>24</v>
      </c>
      <c r="F54" s="15">
        <v>3</v>
      </c>
      <c r="G54">
        <f>(((F54-1)*E54+D54)/24)+0.5</f>
        <v>5.5</v>
      </c>
    </row>
    <row r="55" spans="1:7" ht="15">
      <c r="A55" s="13">
        <v>28</v>
      </c>
      <c r="B55" s="14" t="s">
        <v>79</v>
      </c>
      <c r="C55" s="16"/>
      <c r="D55" s="13">
        <v>72</v>
      </c>
      <c r="E55" s="13">
        <v>24</v>
      </c>
      <c r="F55" s="15">
        <v>3</v>
      </c>
      <c r="G55">
        <f>(((F55-1)*E55+D55)/24)+0.5</f>
        <v>5.5</v>
      </c>
    </row>
    <row r="56" ht="15">
      <c r="A56" s="13"/>
    </row>
    <row r="57" spans="1:6" ht="15">
      <c r="A57" s="13"/>
      <c r="B57" s="14"/>
      <c r="C57" s="13"/>
      <c r="D57" s="13"/>
      <c r="E57" s="13"/>
      <c r="F57" s="15"/>
    </row>
    <row r="59" ht="15">
      <c r="B59" s="29">
        <v>2</v>
      </c>
    </row>
    <row r="60" ht="15">
      <c r="B60" s="29" t="str">
        <f>INDEX(B28:B55,B59)</f>
        <v>Cloxagel 200 MC</v>
      </c>
    </row>
    <row r="62" spans="1:10" ht="15">
      <c r="A62" s="12" t="s">
        <v>64</v>
      </c>
      <c r="B62" s="12" t="s">
        <v>65</v>
      </c>
      <c r="C62" s="12" t="s">
        <v>66</v>
      </c>
      <c r="D62" s="12" t="s">
        <v>67</v>
      </c>
      <c r="E62" s="12" t="s">
        <v>68</v>
      </c>
      <c r="F62" s="12" t="s">
        <v>69</v>
      </c>
      <c r="G62" s="18" t="s">
        <v>84</v>
      </c>
      <c r="I62" s="20" t="s">
        <v>84</v>
      </c>
      <c r="J62" s="20" t="s">
        <v>85</v>
      </c>
    </row>
    <row r="63" spans="1:15" ht="15">
      <c r="A63" s="13">
        <v>1</v>
      </c>
      <c r="B63" s="14" t="s">
        <v>70</v>
      </c>
      <c r="C63" s="13">
        <v>4</v>
      </c>
      <c r="D63" s="13">
        <v>48</v>
      </c>
      <c r="E63" s="13">
        <v>12</v>
      </c>
      <c r="F63" s="13">
        <v>3</v>
      </c>
      <c r="G63">
        <f>(((F63-1)*E63+D63)/24)+0.5</f>
        <v>3.5</v>
      </c>
      <c r="I63">
        <f>IF(B94=1,G63,IF(B94=2,G64,IF(B94=3,G65,IF(B94=4,G66,IF(B94=5,G67,IF(B94=6,G68,IF(B94=7,G69,L63)))))))</f>
        <v>5.5</v>
      </c>
      <c r="J63">
        <f>I63*CMTreatProd2PercentBas</f>
        <v>2.75</v>
      </c>
      <c r="L63">
        <f>IF(B94=8,G70,IF(B94=9,G71,IF(B94=10,G72,IF(B94=11,G73,IF(B94=12,G74,IF(B94=13,G75,IF(B94=14,G76,M63)))))))</f>
        <v>5.5</v>
      </c>
      <c r="M63">
        <f>IF(B94=15,G77,IF(B94=16,G78,IF(B94=17,G79,IF(B94=18,G80,IF(B94=19,G81,IF(B94=20,G82,IF(B94=21,G83,N63)))))))</f>
        <v>5.5</v>
      </c>
      <c r="N63">
        <f>IF(B94=22,G84,IF(B94=23,G85,IF(B94=24,G86,IF(B94=25,G87,IF(B94=26,G88,IF(B94=27,G89,O63))))))</f>
        <v>5.5</v>
      </c>
      <c r="O63">
        <f>IF(B94=28,G90,0)</f>
        <v>0</v>
      </c>
    </row>
    <row r="64" spans="1:7" ht="15">
      <c r="A64" s="13">
        <v>2</v>
      </c>
      <c r="B64" s="14" t="s">
        <v>80</v>
      </c>
      <c r="C64" s="17">
        <v>7</v>
      </c>
      <c r="D64" s="13">
        <v>84</v>
      </c>
      <c r="E64" s="13">
        <v>12</v>
      </c>
      <c r="F64" s="16">
        <v>3</v>
      </c>
      <c r="G64">
        <f aca="true" t="shared" si="7" ref="G64:G85">(((F64-1)*E64+D64)/24)+0.5</f>
        <v>5</v>
      </c>
    </row>
    <row r="65" spans="1:7" ht="15">
      <c r="A65" s="13">
        <v>3</v>
      </c>
      <c r="B65" s="14" t="s">
        <v>71</v>
      </c>
      <c r="C65" s="16"/>
      <c r="D65" s="13">
        <v>96</v>
      </c>
      <c r="E65" s="13">
        <v>24</v>
      </c>
      <c r="F65" s="13">
        <v>3</v>
      </c>
      <c r="G65">
        <f t="shared" si="7"/>
        <v>6.5</v>
      </c>
    </row>
    <row r="66" spans="1:7" ht="15">
      <c r="A66" s="13">
        <v>4</v>
      </c>
      <c r="B66" s="14" t="s">
        <v>72</v>
      </c>
      <c r="C66" s="17">
        <v>8</v>
      </c>
      <c r="D66" s="13">
        <v>96</v>
      </c>
      <c r="E66" s="13">
        <v>12</v>
      </c>
      <c r="F66" s="13">
        <v>3</v>
      </c>
      <c r="G66">
        <f t="shared" si="7"/>
        <v>5.5</v>
      </c>
    </row>
    <row r="67" spans="1:7" ht="15">
      <c r="A67" s="13">
        <v>5</v>
      </c>
      <c r="B67" s="34" t="s">
        <v>182</v>
      </c>
      <c r="C67" s="17">
        <v>8</v>
      </c>
      <c r="D67" s="13">
        <v>96</v>
      </c>
      <c r="E67" s="13">
        <v>12</v>
      </c>
      <c r="F67" s="13">
        <v>6</v>
      </c>
      <c r="G67" s="26">
        <f t="shared" si="7"/>
        <v>7</v>
      </c>
    </row>
    <row r="68" spans="1:7" ht="15">
      <c r="A68" s="13">
        <v>6</v>
      </c>
      <c r="B68" s="14" t="s">
        <v>81</v>
      </c>
      <c r="C68" s="17">
        <v>3</v>
      </c>
      <c r="D68" s="13">
        <v>36</v>
      </c>
      <c r="E68" s="13">
        <v>12</v>
      </c>
      <c r="F68" s="16">
        <v>3</v>
      </c>
      <c r="G68">
        <f t="shared" si="7"/>
        <v>3</v>
      </c>
    </row>
    <row r="69" spans="1:7" ht="15">
      <c r="A69" s="13">
        <v>7</v>
      </c>
      <c r="B69" s="14" t="s">
        <v>110</v>
      </c>
      <c r="C69" s="13">
        <v>6</v>
      </c>
      <c r="D69" s="13">
        <v>72</v>
      </c>
      <c r="E69" s="13">
        <v>12</v>
      </c>
      <c r="F69" s="16">
        <v>3</v>
      </c>
      <c r="G69">
        <f t="shared" si="7"/>
        <v>4.5</v>
      </c>
    </row>
    <row r="70" spans="1:7" ht="15">
      <c r="A70" s="13">
        <v>8</v>
      </c>
      <c r="B70" s="34" t="s">
        <v>183</v>
      </c>
      <c r="C70" s="35">
        <v>7</v>
      </c>
      <c r="D70" s="13">
        <v>84</v>
      </c>
      <c r="E70" s="13">
        <v>12</v>
      </c>
      <c r="F70" s="16">
        <v>6</v>
      </c>
      <c r="G70">
        <f t="shared" si="7"/>
        <v>6.5</v>
      </c>
    </row>
    <row r="71" spans="1:7" ht="15">
      <c r="A71" s="13">
        <v>9</v>
      </c>
      <c r="B71" s="14" t="s">
        <v>76</v>
      </c>
      <c r="C71" s="17">
        <v>5</v>
      </c>
      <c r="D71" s="13">
        <v>60</v>
      </c>
      <c r="E71" s="13">
        <v>12</v>
      </c>
      <c r="F71" s="16">
        <v>3</v>
      </c>
      <c r="G71">
        <f t="shared" si="7"/>
        <v>4</v>
      </c>
    </row>
    <row r="72" spans="1:7" ht="15">
      <c r="A72" s="13">
        <v>10</v>
      </c>
      <c r="B72" s="34" t="s">
        <v>180</v>
      </c>
      <c r="C72" s="17">
        <v>4</v>
      </c>
      <c r="D72" s="13">
        <v>96</v>
      </c>
      <c r="E72" s="13">
        <v>24</v>
      </c>
      <c r="F72" s="16">
        <v>3</v>
      </c>
      <c r="G72">
        <f t="shared" si="7"/>
        <v>6.5</v>
      </c>
    </row>
    <row r="73" spans="1:7" ht="15">
      <c r="A73" s="13">
        <v>11</v>
      </c>
      <c r="B73" s="14" t="s">
        <v>108</v>
      </c>
      <c r="C73" s="16"/>
      <c r="D73" s="13">
        <v>48</v>
      </c>
      <c r="E73" s="13">
        <v>24</v>
      </c>
      <c r="F73" s="13">
        <v>2</v>
      </c>
      <c r="G73">
        <f t="shared" si="7"/>
        <v>3.5</v>
      </c>
    </row>
    <row r="74" spans="1:7" ht="15">
      <c r="A74" s="13">
        <v>12</v>
      </c>
      <c r="B74" s="14" t="s">
        <v>107</v>
      </c>
      <c r="C74" s="16"/>
      <c r="D74" s="13">
        <v>48</v>
      </c>
      <c r="E74" s="13">
        <v>24</v>
      </c>
      <c r="F74" s="13">
        <v>3</v>
      </c>
      <c r="G74">
        <f t="shared" si="7"/>
        <v>4.5</v>
      </c>
    </row>
    <row r="75" spans="1:7" ht="15">
      <c r="A75" s="13">
        <v>13</v>
      </c>
      <c r="B75" s="14" t="s">
        <v>73</v>
      </c>
      <c r="C75" s="13">
        <v>8</v>
      </c>
      <c r="D75" s="13">
        <v>96</v>
      </c>
      <c r="E75" s="13">
        <v>24</v>
      </c>
      <c r="F75" s="13">
        <v>3</v>
      </c>
      <c r="G75">
        <f t="shared" si="7"/>
        <v>6.5</v>
      </c>
    </row>
    <row r="76" spans="1:7" ht="15">
      <c r="A76" s="13">
        <v>14</v>
      </c>
      <c r="B76" s="14" t="s">
        <v>77</v>
      </c>
      <c r="C76" s="17">
        <v>11</v>
      </c>
      <c r="D76" s="13">
        <v>132</v>
      </c>
      <c r="E76" s="13">
        <v>0</v>
      </c>
      <c r="F76" s="15">
        <v>1</v>
      </c>
      <c r="G76">
        <f t="shared" si="7"/>
        <v>6</v>
      </c>
    </row>
    <row r="77" spans="1:7" ht="15">
      <c r="A77" s="13">
        <v>15</v>
      </c>
      <c r="B77" s="14" t="s">
        <v>111</v>
      </c>
      <c r="C77" s="13">
        <v>7</v>
      </c>
      <c r="D77" s="13">
        <v>84</v>
      </c>
      <c r="E77" s="13">
        <v>12</v>
      </c>
      <c r="F77" s="15">
        <v>3</v>
      </c>
      <c r="G77">
        <f t="shared" si="7"/>
        <v>5</v>
      </c>
    </row>
    <row r="78" spans="1:7" ht="15">
      <c r="A78" s="13">
        <v>16</v>
      </c>
      <c r="B78" s="34" t="s">
        <v>184</v>
      </c>
      <c r="C78" s="13">
        <v>11</v>
      </c>
      <c r="D78" s="13">
        <v>132</v>
      </c>
      <c r="E78" s="13">
        <v>12</v>
      </c>
      <c r="F78" s="15">
        <v>6</v>
      </c>
      <c r="G78" s="26">
        <f t="shared" si="7"/>
        <v>8.5</v>
      </c>
    </row>
    <row r="79" spans="1:7" ht="15">
      <c r="A79" s="13">
        <v>17</v>
      </c>
      <c r="B79" s="14" t="s">
        <v>112</v>
      </c>
      <c r="C79" s="16">
        <v>4</v>
      </c>
      <c r="D79" s="13">
        <v>48</v>
      </c>
      <c r="E79" s="13">
        <v>12</v>
      </c>
      <c r="F79" s="17">
        <v>3</v>
      </c>
      <c r="G79">
        <f t="shared" si="7"/>
        <v>3.5</v>
      </c>
    </row>
    <row r="80" spans="1:7" ht="15">
      <c r="A80" s="13">
        <v>18</v>
      </c>
      <c r="B80" s="14" t="s">
        <v>113</v>
      </c>
      <c r="C80" s="13">
        <v>7</v>
      </c>
      <c r="D80" s="13">
        <v>84</v>
      </c>
      <c r="E80" s="13">
        <v>48</v>
      </c>
      <c r="F80" s="17">
        <v>3</v>
      </c>
      <c r="G80">
        <f t="shared" si="7"/>
        <v>8</v>
      </c>
    </row>
    <row r="81" spans="1:7" ht="15">
      <c r="A81" s="13">
        <v>19</v>
      </c>
      <c r="B81" s="14" t="s">
        <v>109</v>
      </c>
      <c r="C81" s="13">
        <v>7</v>
      </c>
      <c r="D81" s="13">
        <v>84</v>
      </c>
      <c r="E81" s="13">
        <v>48</v>
      </c>
      <c r="F81" s="17">
        <v>3</v>
      </c>
      <c r="G81">
        <f t="shared" si="7"/>
        <v>8</v>
      </c>
    </row>
    <row r="82" spans="1:7" ht="15">
      <c r="A82" s="13">
        <v>20</v>
      </c>
      <c r="B82" s="34" t="s">
        <v>181</v>
      </c>
      <c r="C82" s="13">
        <v>3</v>
      </c>
      <c r="D82" s="13">
        <v>72</v>
      </c>
      <c r="E82" s="13">
        <v>48</v>
      </c>
      <c r="F82" s="17">
        <v>3</v>
      </c>
      <c r="G82">
        <f t="shared" si="7"/>
        <v>7.5</v>
      </c>
    </row>
    <row r="83" spans="1:7" ht="15">
      <c r="A83" s="13">
        <v>21</v>
      </c>
      <c r="B83" s="14" t="s">
        <v>82</v>
      </c>
      <c r="C83" s="13">
        <v>9</v>
      </c>
      <c r="D83" s="13">
        <v>108</v>
      </c>
      <c r="E83" s="13">
        <v>12</v>
      </c>
      <c r="F83" s="15">
        <v>3</v>
      </c>
      <c r="G83">
        <f t="shared" si="7"/>
        <v>6</v>
      </c>
    </row>
    <row r="84" spans="1:7" ht="15">
      <c r="A84" s="13">
        <v>22</v>
      </c>
      <c r="B84" s="14" t="s">
        <v>114</v>
      </c>
      <c r="C84" s="13">
        <v>5</v>
      </c>
      <c r="D84" s="13">
        <v>48</v>
      </c>
      <c r="E84" s="13">
        <v>24</v>
      </c>
      <c r="F84" s="15">
        <v>2</v>
      </c>
      <c r="G84">
        <f t="shared" si="7"/>
        <v>3.5</v>
      </c>
    </row>
    <row r="85" spans="1:7" ht="15">
      <c r="A85" s="13">
        <v>23</v>
      </c>
      <c r="B85" s="14" t="s">
        <v>83</v>
      </c>
      <c r="C85" s="17">
        <v>4</v>
      </c>
      <c r="D85" s="13">
        <v>48</v>
      </c>
      <c r="E85" s="13">
        <v>12</v>
      </c>
      <c r="F85" s="15">
        <v>3</v>
      </c>
      <c r="G85">
        <f t="shared" si="7"/>
        <v>3.5</v>
      </c>
    </row>
    <row r="86" spans="1:7" ht="15">
      <c r="A86" s="13">
        <v>24</v>
      </c>
      <c r="B86" s="14" t="s">
        <v>75</v>
      </c>
      <c r="C86" s="13">
        <v>4</v>
      </c>
      <c r="D86" s="13">
        <v>48</v>
      </c>
      <c r="E86" s="13">
        <v>12</v>
      </c>
      <c r="F86" s="15">
        <v>3</v>
      </c>
      <c r="G86">
        <f>(((F86-1)*E86+D86)/24)+0.5</f>
        <v>3.5</v>
      </c>
    </row>
    <row r="87" spans="1:7" ht="15">
      <c r="A87" s="13">
        <v>25</v>
      </c>
      <c r="B87" s="34" t="s">
        <v>185</v>
      </c>
      <c r="C87" s="13">
        <v>6</v>
      </c>
      <c r="D87" s="13">
        <v>72</v>
      </c>
      <c r="E87" s="13">
        <v>12</v>
      </c>
      <c r="F87" s="15">
        <v>6</v>
      </c>
      <c r="G87">
        <f>(((F87-1)*E87+D87)/24)+0.5</f>
        <v>6</v>
      </c>
    </row>
    <row r="88" spans="1:7" ht="15">
      <c r="A88" s="13">
        <v>26</v>
      </c>
      <c r="B88" s="14" t="s">
        <v>74</v>
      </c>
      <c r="C88" s="16"/>
      <c r="D88" s="13">
        <v>72</v>
      </c>
      <c r="E88" s="13">
        <v>24</v>
      </c>
      <c r="F88" s="15">
        <v>3</v>
      </c>
      <c r="G88">
        <f>(((F88-1)*E88+D88)/24)+0.5</f>
        <v>5.5</v>
      </c>
    </row>
    <row r="89" spans="1:7" ht="15">
      <c r="A89" s="13">
        <v>27</v>
      </c>
      <c r="B89" s="14" t="s">
        <v>78</v>
      </c>
      <c r="C89" s="13">
        <v>6</v>
      </c>
      <c r="D89" s="13">
        <v>72</v>
      </c>
      <c r="E89" s="13">
        <v>24</v>
      </c>
      <c r="F89" s="15">
        <v>3</v>
      </c>
      <c r="G89">
        <f>(((F89-1)*E89+D89)/24)+0.5</f>
        <v>5.5</v>
      </c>
    </row>
    <row r="90" spans="1:7" ht="15">
      <c r="A90" s="13">
        <v>28</v>
      </c>
      <c r="B90" s="14" t="s">
        <v>79</v>
      </c>
      <c r="C90" s="16"/>
      <c r="D90" s="13">
        <v>72</v>
      </c>
      <c r="E90" s="13">
        <v>24</v>
      </c>
      <c r="F90" s="15">
        <v>3</v>
      </c>
      <c r="G90">
        <f>(((F90-1)*E90+D90)/24)+0.5</f>
        <v>5.5</v>
      </c>
    </row>
    <row r="91" spans="1:6" ht="15">
      <c r="A91" s="19">
        <v>29</v>
      </c>
      <c r="B91" s="37" t="s">
        <v>60</v>
      </c>
      <c r="C91" s="35"/>
      <c r="D91" s="35"/>
      <c r="E91" s="35"/>
      <c r="F91" s="15"/>
    </row>
    <row r="92" spans="1:6" ht="15">
      <c r="A92" s="19"/>
      <c r="B92" s="36"/>
      <c r="C92" s="35"/>
      <c r="D92" s="35"/>
      <c r="E92" s="35"/>
      <c r="F92" s="15"/>
    </row>
    <row r="93" ht="15">
      <c r="A93" s="19"/>
    </row>
    <row r="94" ht="15">
      <c r="B94" s="29">
        <v>26</v>
      </c>
    </row>
    <row r="95" ht="15">
      <c r="B95" s="29" t="str">
        <f>INDEX(B63:B91,B94)</f>
        <v>Tylan 200</v>
      </c>
    </row>
    <row r="96" spans="8:10" ht="15">
      <c r="H96" t="s">
        <v>86</v>
      </c>
      <c r="J96">
        <f>IF(J63=0,J28,J28+J63)</f>
        <v>5.25</v>
      </c>
    </row>
    <row r="97" spans="1:2" ht="15">
      <c r="A97" t="s">
        <v>150</v>
      </c>
      <c r="B97" t="s">
        <v>148</v>
      </c>
    </row>
    <row r="98" ht="15">
      <c r="B98" t="s">
        <v>149</v>
      </c>
    </row>
    <row r="100" ht="15">
      <c r="B100" s="29">
        <v>1</v>
      </c>
    </row>
    <row r="101" ht="15">
      <c r="B101" s="29" t="str">
        <f>INDEX(B97:B98,B100)</f>
        <v>No</v>
      </c>
    </row>
    <row r="102" ht="15">
      <c r="B102" s="29"/>
    </row>
    <row r="103" spans="1:2" ht="45">
      <c r="A103" s="1" t="s">
        <v>177</v>
      </c>
      <c r="B103" s="29" t="s">
        <v>178</v>
      </c>
    </row>
    <row r="104" ht="15">
      <c r="B104" s="29" t="s">
        <v>179</v>
      </c>
    </row>
    <row r="105" ht="15">
      <c r="B105" s="29"/>
    </row>
    <row r="106" ht="15">
      <c r="B106" s="29">
        <v>1</v>
      </c>
    </row>
    <row r="107" ht="15">
      <c r="B107" s="29" t="str">
        <f>INDEX(B103:B104,B106)</f>
        <v>Fed to calves</v>
      </c>
    </row>
    <row r="108" ht="15">
      <c r="B108" s="29"/>
    </row>
    <row r="109" spans="1:2" ht="15">
      <c r="A109" t="s">
        <v>194</v>
      </c>
      <c r="B109" s="48">
        <f>CMPercentMonth6Plus</f>
        <v>0.2</v>
      </c>
    </row>
    <row r="111" spans="1:2" ht="15">
      <c r="A111" t="s">
        <v>151</v>
      </c>
      <c r="B111" s="41">
        <f>MSPercentDiscardedMilk</f>
        <v>0.09</v>
      </c>
    </row>
    <row r="112" spans="1:2" ht="15">
      <c r="A112" t="s">
        <v>152</v>
      </c>
      <c r="B112" s="8">
        <f>ABMilkValue*(1/MSPercentDiscardedMilk)</f>
        <v>1.6666666666666665</v>
      </c>
    </row>
    <row r="114" spans="1:2" ht="30">
      <c r="A114" s="1" t="s">
        <v>104</v>
      </c>
      <c r="B114" s="50">
        <f>ProdLossClin</f>
        <v>0.033</v>
      </c>
    </row>
    <row r="115" spans="1:2" ht="15">
      <c r="A115" t="s">
        <v>89</v>
      </c>
      <c r="B115" s="4">
        <f>TimePerCaseCM</f>
        <v>0.25</v>
      </c>
    </row>
    <row r="116" ht="15">
      <c r="B116" s="4"/>
    </row>
    <row r="117" spans="1:2" ht="45">
      <c r="A117" s="1" t="s">
        <v>135</v>
      </c>
      <c r="B117" s="39">
        <f>CullRiskCM</f>
        <v>0.032</v>
      </c>
    </row>
    <row r="118" spans="1:2" ht="15">
      <c r="A118" s="1"/>
      <c r="B118" s="21"/>
    </row>
    <row r="119" spans="1:3" ht="30">
      <c r="A119" s="25" t="s">
        <v>100</v>
      </c>
      <c r="B119" t="s">
        <v>92</v>
      </c>
      <c r="C119" t="s">
        <v>56</v>
      </c>
    </row>
    <row r="120" spans="1:3" ht="30">
      <c r="A120" s="1" t="s">
        <v>103</v>
      </c>
      <c r="B120">
        <f>FLOOR(CullRiskCM*CMMilkingCurrentBas,1)</f>
        <v>2</v>
      </c>
      <c r="C120">
        <f>FLOOR(CullRiskCM*CMMilkingTargetBas,1)</f>
        <v>1</v>
      </c>
    </row>
    <row r="121" spans="1:3" ht="15">
      <c r="A121" t="s">
        <v>102</v>
      </c>
      <c r="B121" s="7">
        <f>HeiferProdDiff</f>
        <v>0.19</v>
      </c>
      <c r="C121" s="7">
        <f>HeiferProdDiff</f>
        <v>0.19</v>
      </c>
    </row>
    <row r="122" spans="1:3" ht="15">
      <c r="A122" s="22" t="s">
        <v>99</v>
      </c>
      <c r="B122" s="8">
        <f>B120*B121*(B10)*Payout</f>
        <v>864.5</v>
      </c>
      <c r="C122" s="8">
        <f>C120*C121*(C10)*Payout</f>
        <v>432.25</v>
      </c>
    </row>
    <row r="123" spans="1:3" ht="15">
      <c r="A123" t="s">
        <v>105</v>
      </c>
      <c r="B123" s="31">
        <f>B120*(ReplacementCost-CullValue)</f>
        <v>1800</v>
      </c>
      <c r="C123" s="31">
        <f>C120*(ReplacementCost-CullValue)</f>
        <v>900</v>
      </c>
    </row>
    <row r="124" spans="1:3" ht="15">
      <c r="A124" t="s">
        <v>106</v>
      </c>
      <c r="B124" s="11">
        <f>B122+B123</f>
        <v>2664.5</v>
      </c>
      <c r="C124" s="11">
        <f>C122+C123</f>
        <v>1332.25</v>
      </c>
    </row>
  </sheetData>
  <sheetProtection password="8B19" sheet="1" selectLockedCells="1" selectUnlockedCells="1"/>
  <printOptions/>
  <pageMargins left="0.7" right="0.7" top="0.75" bottom="0.75" header="0.3" footer="0.3"/>
  <pageSetup orientation="portrait" r:id="rId1"/>
  <ignoredErrors>
    <ignoredError sqref="C10" formula="1"/>
  </ignoredErrors>
</worksheet>
</file>

<file path=xl/worksheets/sheet9.xml><?xml version="1.0" encoding="utf-8"?>
<worksheet xmlns="http://schemas.openxmlformats.org/spreadsheetml/2006/main" xmlns:r="http://schemas.openxmlformats.org/officeDocument/2006/relationships">
  <dimension ref="A1:P154"/>
  <sheetViews>
    <sheetView zoomScale="90" zoomScaleNormal="90" zoomScalePageLayoutView="0" workbookViewId="0" topLeftCell="A1">
      <selection activeCell="A1" sqref="A1"/>
    </sheetView>
  </sheetViews>
  <sheetFormatPr defaultColWidth="8.8515625" defaultRowHeight="15"/>
  <cols>
    <col min="1" max="1" width="29.421875" style="0" customWidth="1"/>
    <col min="2" max="2" width="15.28125" style="0" customWidth="1"/>
    <col min="3" max="3" width="12.421875" style="0" customWidth="1"/>
    <col min="4" max="4" width="8.8515625" style="0" customWidth="1"/>
    <col min="5" max="5" width="11.28125" style="0" customWidth="1"/>
    <col min="6" max="6" width="10.140625" style="0" customWidth="1"/>
    <col min="7" max="7" width="10.00390625" style="0" customWidth="1"/>
    <col min="8" max="9" width="10.421875" style="0" customWidth="1"/>
    <col min="10" max="10" width="11.421875" style="0" customWidth="1"/>
    <col min="11" max="11" width="10.421875" style="0" customWidth="1"/>
    <col min="12" max="12" width="11.28125" style="0" customWidth="1"/>
    <col min="13" max="14" width="8.8515625" style="0" customWidth="1"/>
    <col min="15" max="15" width="11.28125" style="0" customWidth="1"/>
    <col min="16" max="16" width="22.421875" style="0" customWidth="1"/>
  </cols>
  <sheetData>
    <row r="1" spans="2:3" ht="15">
      <c r="B1" t="s">
        <v>92</v>
      </c>
      <c r="C1" t="s">
        <v>56</v>
      </c>
    </row>
    <row r="2" ht="15">
      <c r="A2" s="2" t="s">
        <v>5</v>
      </c>
    </row>
    <row r="3" ht="15">
      <c r="A3" s="2" t="s">
        <v>6</v>
      </c>
    </row>
    <row r="4" ht="15">
      <c r="A4" s="2" t="s">
        <v>7</v>
      </c>
    </row>
    <row r="5" ht="45">
      <c r="A5" s="3" t="s">
        <v>53</v>
      </c>
    </row>
    <row r="6" ht="15">
      <c r="A6" s="3" t="s">
        <v>8</v>
      </c>
    </row>
    <row r="7" ht="15">
      <c r="A7" s="6"/>
    </row>
    <row r="8" spans="1:3" ht="15">
      <c r="A8" t="s">
        <v>54</v>
      </c>
      <c r="B8">
        <f>SUM(DataInputIntermediate!C59:C79)</f>
        <v>72</v>
      </c>
      <c r="C8">
        <f>SUM(DataInputIntermediate!D59:D79)</f>
        <v>38</v>
      </c>
    </row>
    <row r="9" spans="1:3" ht="15">
      <c r="A9" t="s">
        <v>55</v>
      </c>
      <c r="B9">
        <f>J96</f>
        <v>4.5</v>
      </c>
      <c r="C9">
        <f>B9</f>
        <v>4.5</v>
      </c>
    </row>
    <row r="10" spans="1:3" ht="15">
      <c r="A10" t="s">
        <v>136</v>
      </c>
      <c r="B10">
        <f>ProdCurrent/CalvedNoTotalCurrent</f>
        <v>350</v>
      </c>
      <c r="C10">
        <f>ProdTarget/CalvedNoTotalTarget</f>
        <v>350</v>
      </c>
    </row>
    <row r="11" spans="1:3" ht="15">
      <c r="A11" t="s">
        <v>58</v>
      </c>
      <c r="B11" s="4">
        <f>LactDaysAve</f>
        <v>270</v>
      </c>
      <c r="C11">
        <f>LactDaysAve</f>
        <v>270</v>
      </c>
    </row>
    <row r="12" spans="1:3" ht="15">
      <c r="A12" t="s">
        <v>134</v>
      </c>
      <c r="B12" s="30">
        <f>B10/B11</f>
        <v>1.2962962962962963</v>
      </c>
      <c r="C12" s="30">
        <f>C10/C11</f>
        <v>1.2962962962962963</v>
      </c>
    </row>
    <row r="13" spans="1:12" ht="90">
      <c r="A13" s="1" t="s">
        <v>57</v>
      </c>
      <c r="B13" s="1" t="s">
        <v>192</v>
      </c>
      <c r="C13" s="1" t="s">
        <v>193</v>
      </c>
      <c r="D13" t="s">
        <v>59</v>
      </c>
      <c r="E13" s="1" t="s">
        <v>88</v>
      </c>
      <c r="F13" s="1" t="s">
        <v>137</v>
      </c>
      <c r="G13" s="1" t="s">
        <v>138</v>
      </c>
      <c r="H13" s="1" t="s">
        <v>139</v>
      </c>
      <c r="I13" s="1" t="s">
        <v>140</v>
      </c>
      <c r="J13" s="1" t="s">
        <v>120</v>
      </c>
      <c r="K13" s="1" t="s">
        <v>141</v>
      </c>
      <c r="L13" s="1" t="s">
        <v>121</v>
      </c>
    </row>
    <row r="14" spans="1:16" ht="15">
      <c r="A14">
        <v>1</v>
      </c>
      <c r="B14">
        <f>DataInputIntermediate!C59</f>
        <v>15</v>
      </c>
      <c r="C14">
        <f>DataInputIntermediate!D59</f>
        <v>8</v>
      </c>
      <c r="D14">
        <f>B14-C14</f>
        <v>7</v>
      </c>
      <c r="E14" s="7">
        <v>1.007042253521127</v>
      </c>
      <c r="F14" s="28">
        <f>B14*$B$9*($B$10/$B$11)*E14</f>
        <v>88.1161971830986</v>
      </c>
      <c r="G14" s="28">
        <f>C14*$B$9*($B$10/$B$11)*E14</f>
        <v>46.995305164319255</v>
      </c>
      <c r="H14" s="28">
        <f>F14-G14</f>
        <v>41.12089201877935</v>
      </c>
      <c r="I14" s="28">
        <f>$B$10*B14*$B$114</f>
        <v>173.25</v>
      </c>
      <c r="J14" s="28">
        <f>$B$10*C14*$B$114</f>
        <v>92.4</v>
      </c>
      <c r="K14" s="28">
        <f>I14-F14</f>
        <v>85.1338028169014</v>
      </c>
      <c r="L14" s="28">
        <f>J14-G14</f>
        <v>45.40469483568075</v>
      </c>
      <c r="N14" s="32"/>
      <c r="P14" s="33"/>
    </row>
    <row r="15" spans="1:16" ht="15">
      <c r="A15">
        <v>2</v>
      </c>
      <c r="B15">
        <f>DataInputIntermediate!C61</f>
        <v>15</v>
      </c>
      <c r="C15">
        <f>DataInputIntermediate!D61</f>
        <v>8</v>
      </c>
      <c r="D15">
        <f aca="true" t="shared" si="0" ref="D15:D24">B15-C15</f>
        <v>7</v>
      </c>
      <c r="E15" s="7">
        <v>1.1338028169014085</v>
      </c>
      <c r="F15" s="28">
        <f aca="true" t="shared" si="1" ref="F15:F24">B15*$B$9*($B$10/$B$11)*E15</f>
        <v>99.20774647887325</v>
      </c>
      <c r="G15" s="28">
        <f aca="true" t="shared" si="2" ref="G15:G24">C15*$B$9*($B$10/$B$11)*E15</f>
        <v>52.91079812206573</v>
      </c>
      <c r="H15" s="28">
        <f aca="true" t="shared" si="3" ref="H15:H25">F15-G15</f>
        <v>46.29694835680752</v>
      </c>
      <c r="I15" s="28">
        <f aca="true" t="shared" si="4" ref="I15:J25">$B$10*B15*$B$114</f>
        <v>173.25</v>
      </c>
      <c r="J15" s="28">
        <f t="shared" si="4"/>
        <v>92.4</v>
      </c>
      <c r="K15" s="28">
        <f aca="true" t="shared" si="5" ref="K15:L25">I15-F15</f>
        <v>74.04225352112675</v>
      </c>
      <c r="L15" s="28">
        <f t="shared" si="5"/>
        <v>39.48920187793428</v>
      </c>
      <c r="N15" s="32"/>
      <c r="P15" s="33"/>
    </row>
    <row r="16" spans="1:14" ht="15">
      <c r="A16">
        <v>3</v>
      </c>
      <c r="B16">
        <f>DataInputIntermediate!C63</f>
        <v>15</v>
      </c>
      <c r="C16">
        <f>DataInputIntermediate!D63</f>
        <v>8</v>
      </c>
      <c r="D16">
        <f t="shared" si="0"/>
        <v>7</v>
      </c>
      <c r="E16" s="7">
        <v>1.2112676056338028</v>
      </c>
      <c r="F16" s="28">
        <f t="shared" si="1"/>
        <v>105.98591549295774</v>
      </c>
      <c r="G16" s="28">
        <f t="shared" si="2"/>
        <v>56.52582159624413</v>
      </c>
      <c r="H16" s="28">
        <f t="shared" si="3"/>
        <v>49.460093896713616</v>
      </c>
      <c r="I16" s="28">
        <f t="shared" si="4"/>
        <v>173.25</v>
      </c>
      <c r="J16" s="28">
        <f t="shared" si="4"/>
        <v>92.4</v>
      </c>
      <c r="K16" s="28">
        <f t="shared" si="5"/>
        <v>67.26408450704226</v>
      </c>
      <c r="L16" s="28">
        <f t="shared" si="5"/>
        <v>35.87417840375588</v>
      </c>
      <c r="N16" s="32"/>
    </row>
    <row r="17" spans="1:12" ht="15">
      <c r="A17">
        <v>4</v>
      </c>
      <c r="B17">
        <f>DataInputIntermediate!C65</f>
        <v>15</v>
      </c>
      <c r="C17">
        <f>DataInputIntermediate!D65</f>
        <v>8</v>
      </c>
      <c r="D17">
        <f t="shared" si="0"/>
        <v>7</v>
      </c>
      <c r="E17" s="7">
        <v>1.2112676056338028</v>
      </c>
      <c r="F17" s="28">
        <f t="shared" si="1"/>
        <v>105.98591549295774</v>
      </c>
      <c r="G17" s="28">
        <f t="shared" si="2"/>
        <v>56.52582159624413</v>
      </c>
      <c r="H17" s="28">
        <f t="shared" si="3"/>
        <v>49.460093896713616</v>
      </c>
      <c r="I17" s="28">
        <f t="shared" si="4"/>
        <v>173.25</v>
      </c>
      <c r="J17" s="28">
        <f t="shared" si="4"/>
        <v>92.4</v>
      </c>
      <c r="K17" s="28">
        <f t="shared" si="5"/>
        <v>67.26408450704226</v>
      </c>
      <c r="L17" s="28">
        <f t="shared" si="5"/>
        <v>35.87417840375588</v>
      </c>
    </row>
    <row r="18" spans="1:12" ht="15">
      <c r="A18">
        <v>5</v>
      </c>
      <c r="B18">
        <f>DataInputIntermediate!C67</f>
        <v>2</v>
      </c>
      <c r="C18">
        <f>DataInputIntermediate!D67</f>
        <v>1</v>
      </c>
      <c r="D18">
        <f t="shared" si="0"/>
        <v>1</v>
      </c>
      <c r="E18" s="7">
        <v>1.119718309859155</v>
      </c>
      <c r="F18" s="28">
        <f t="shared" si="1"/>
        <v>13.06338028169014</v>
      </c>
      <c r="G18" s="28">
        <f t="shared" si="2"/>
        <v>6.53169014084507</v>
      </c>
      <c r="H18" s="28">
        <f t="shared" si="3"/>
        <v>6.53169014084507</v>
      </c>
      <c r="I18" s="28">
        <f t="shared" si="4"/>
        <v>23.1</v>
      </c>
      <c r="J18" s="28">
        <f t="shared" si="4"/>
        <v>11.55</v>
      </c>
      <c r="K18" s="28">
        <f t="shared" si="5"/>
        <v>10.036619718309861</v>
      </c>
      <c r="L18" s="28">
        <f t="shared" si="5"/>
        <v>5.018309859154931</v>
      </c>
    </row>
    <row r="19" spans="1:12" ht="15">
      <c r="A19">
        <v>6</v>
      </c>
      <c r="B19">
        <f>DataInputIntermediate!C69</f>
        <v>2</v>
      </c>
      <c r="C19">
        <f>DataInputIntermediate!D69</f>
        <v>1</v>
      </c>
      <c r="D19">
        <f t="shared" si="0"/>
        <v>1</v>
      </c>
      <c r="E19" s="7">
        <v>1.0140845070422535</v>
      </c>
      <c r="F19" s="28">
        <f t="shared" si="1"/>
        <v>11.830985915492956</v>
      </c>
      <c r="G19" s="28">
        <f t="shared" si="2"/>
        <v>5.915492957746478</v>
      </c>
      <c r="H19" s="28">
        <f t="shared" si="3"/>
        <v>5.915492957746478</v>
      </c>
      <c r="I19" s="28">
        <f t="shared" si="4"/>
        <v>23.1</v>
      </c>
      <c r="J19" s="28">
        <f t="shared" si="4"/>
        <v>11.55</v>
      </c>
      <c r="K19" s="28">
        <f t="shared" si="5"/>
        <v>11.269014084507045</v>
      </c>
      <c r="L19" s="28">
        <f t="shared" si="5"/>
        <v>5.634507042253523</v>
      </c>
    </row>
    <row r="20" spans="1:12" ht="15">
      <c r="A20">
        <v>7</v>
      </c>
      <c r="B20">
        <f>DataInputIntermediate!C71</f>
        <v>2</v>
      </c>
      <c r="C20">
        <f>DataInputIntermediate!D71</f>
        <v>1</v>
      </c>
      <c r="D20">
        <f t="shared" si="0"/>
        <v>1</v>
      </c>
      <c r="E20" s="7">
        <v>0.9366197183098592</v>
      </c>
      <c r="F20" s="28">
        <f t="shared" si="1"/>
        <v>10.927230046948358</v>
      </c>
      <c r="G20" s="28">
        <f t="shared" si="2"/>
        <v>5.463615023474179</v>
      </c>
      <c r="H20" s="28">
        <f t="shared" si="3"/>
        <v>5.463615023474179</v>
      </c>
      <c r="I20" s="28">
        <f t="shared" si="4"/>
        <v>23.1</v>
      </c>
      <c r="J20" s="28">
        <f t="shared" si="4"/>
        <v>11.55</v>
      </c>
      <c r="K20" s="28">
        <f t="shared" si="5"/>
        <v>12.172769953051644</v>
      </c>
      <c r="L20" s="28">
        <f t="shared" si="5"/>
        <v>6.086384976525822</v>
      </c>
    </row>
    <row r="21" spans="1:12" ht="15">
      <c r="A21">
        <v>8</v>
      </c>
      <c r="B21">
        <f>DataInputIntermediate!C73</f>
        <v>2</v>
      </c>
      <c r="C21">
        <f>DataInputIntermediate!D73</f>
        <v>1</v>
      </c>
      <c r="D21">
        <f t="shared" si="0"/>
        <v>1</v>
      </c>
      <c r="E21" s="7">
        <v>0.8028169014084509</v>
      </c>
      <c r="F21" s="28">
        <f t="shared" si="1"/>
        <v>9.366197183098594</v>
      </c>
      <c r="G21" s="28">
        <f t="shared" si="2"/>
        <v>4.683098591549297</v>
      </c>
      <c r="H21" s="28">
        <f t="shared" si="3"/>
        <v>4.683098591549297</v>
      </c>
      <c r="I21" s="28">
        <f t="shared" si="4"/>
        <v>23.1</v>
      </c>
      <c r="J21" s="28">
        <f t="shared" si="4"/>
        <v>11.55</v>
      </c>
      <c r="K21" s="28">
        <f t="shared" si="5"/>
        <v>13.733802816901408</v>
      </c>
      <c r="L21" s="28">
        <f t="shared" si="5"/>
        <v>6.866901408450704</v>
      </c>
    </row>
    <row r="22" spans="1:12" ht="15">
      <c r="A22">
        <v>9</v>
      </c>
      <c r="B22">
        <f>DataInputIntermediate!C75</f>
        <v>2</v>
      </c>
      <c r="C22">
        <f>DataInputIntermediate!D75</f>
        <v>1</v>
      </c>
      <c r="D22">
        <f t="shared" si="0"/>
        <v>1</v>
      </c>
      <c r="E22" s="7">
        <v>0.823943661971831</v>
      </c>
      <c r="F22" s="28">
        <f t="shared" si="1"/>
        <v>9.612676056338028</v>
      </c>
      <c r="G22" s="28">
        <f t="shared" si="2"/>
        <v>4.806338028169014</v>
      </c>
      <c r="H22" s="28">
        <f t="shared" si="3"/>
        <v>4.806338028169014</v>
      </c>
      <c r="I22" s="28">
        <f t="shared" si="4"/>
        <v>23.1</v>
      </c>
      <c r="J22" s="28">
        <f t="shared" si="4"/>
        <v>11.55</v>
      </c>
      <c r="K22" s="28">
        <f t="shared" si="5"/>
        <v>13.487323943661973</v>
      </c>
      <c r="L22" s="28">
        <f t="shared" si="5"/>
        <v>6.743661971830987</v>
      </c>
    </row>
    <row r="23" spans="1:12" ht="15">
      <c r="A23">
        <v>10</v>
      </c>
      <c r="B23">
        <f>DataInputIntermediate!C77</f>
        <v>2</v>
      </c>
      <c r="C23">
        <f>DataInputIntermediate!D77</f>
        <v>1</v>
      </c>
      <c r="D23">
        <f t="shared" si="0"/>
        <v>1</v>
      </c>
      <c r="E23" s="7">
        <v>0.7605633802816902</v>
      </c>
      <c r="F23" s="28">
        <f t="shared" si="1"/>
        <v>8.87323943661972</v>
      </c>
      <c r="G23" s="28">
        <f t="shared" si="2"/>
        <v>4.43661971830986</v>
      </c>
      <c r="H23" s="28">
        <f t="shared" si="3"/>
        <v>4.43661971830986</v>
      </c>
      <c r="I23" s="28">
        <f t="shared" si="4"/>
        <v>23.1</v>
      </c>
      <c r="J23" s="28">
        <f t="shared" si="4"/>
        <v>11.55</v>
      </c>
      <c r="K23" s="28">
        <f t="shared" si="5"/>
        <v>14.226760563380282</v>
      </c>
      <c r="L23" s="28">
        <f t="shared" si="5"/>
        <v>7.113380281690141</v>
      </c>
    </row>
    <row r="24" spans="1:12" ht="15">
      <c r="A24">
        <v>11</v>
      </c>
      <c r="B24">
        <f>DataInputIntermediate!C79</f>
        <v>0</v>
      </c>
      <c r="C24">
        <f>DataInputIntermediate!D79</f>
        <v>0</v>
      </c>
      <c r="D24">
        <f t="shared" si="0"/>
        <v>0</v>
      </c>
      <c r="E24" s="7">
        <v>0.8309859154929579</v>
      </c>
      <c r="F24" s="28">
        <f t="shared" si="1"/>
        <v>0</v>
      </c>
      <c r="G24" s="28">
        <f t="shared" si="2"/>
        <v>0</v>
      </c>
      <c r="H24" s="28">
        <f t="shared" si="3"/>
        <v>0</v>
      </c>
      <c r="I24" s="28">
        <f t="shared" si="4"/>
        <v>0</v>
      </c>
      <c r="J24" s="28">
        <f t="shared" si="4"/>
        <v>0</v>
      </c>
      <c r="K24" s="28">
        <f t="shared" si="5"/>
        <v>0</v>
      </c>
      <c r="L24" s="28">
        <f t="shared" si="5"/>
        <v>0</v>
      </c>
    </row>
    <row r="25" spans="1:12" ht="15">
      <c r="A25" t="s">
        <v>201</v>
      </c>
      <c r="B25" s="38">
        <f>SUM(B14:B24)</f>
        <v>72</v>
      </c>
      <c r="C25" s="38">
        <f>SUM(C14:C24)</f>
        <v>38</v>
      </c>
      <c r="E25" s="9">
        <f>AVERAGE(E14:E24)</f>
        <v>0.9865556978233037</v>
      </c>
      <c r="F25" s="28">
        <f>SUM(F14:F24)</f>
        <v>462.96948356807513</v>
      </c>
      <c r="G25" s="28">
        <f>SUM(G14:G24)</f>
        <v>244.79460093896714</v>
      </c>
      <c r="H25" s="28">
        <f t="shared" si="3"/>
        <v>218.174882629108</v>
      </c>
      <c r="I25" s="28">
        <f t="shared" si="4"/>
        <v>831.6</v>
      </c>
      <c r="J25" s="28">
        <f t="shared" si="4"/>
        <v>438.90000000000003</v>
      </c>
      <c r="K25" s="28">
        <f t="shared" si="5"/>
        <v>368.6305164319249</v>
      </c>
      <c r="L25" s="28">
        <f t="shared" si="5"/>
        <v>194.1053990610329</v>
      </c>
    </row>
    <row r="26" spans="1:3" ht="15">
      <c r="A26" t="s">
        <v>202</v>
      </c>
      <c r="B26">
        <f>CMDryCurrentInt</f>
        <v>3</v>
      </c>
      <c r="C26">
        <f>CMDryTargetInt</f>
        <v>1</v>
      </c>
    </row>
    <row r="27" spans="1:10" ht="15">
      <c r="A27" s="12" t="s">
        <v>64</v>
      </c>
      <c r="B27" s="12" t="s">
        <v>65</v>
      </c>
      <c r="C27" s="12" t="s">
        <v>66</v>
      </c>
      <c r="D27" s="12" t="s">
        <v>67</v>
      </c>
      <c r="E27" s="12" t="s">
        <v>68</v>
      </c>
      <c r="F27" s="12" t="s">
        <v>69</v>
      </c>
      <c r="G27" s="18" t="s">
        <v>84</v>
      </c>
      <c r="I27" s="20" t="s">
        <v>84</v>
      </c>
      <c r="J27" s="20" t="s">
        <v>85</v>
      </c>
    </row>
    <row r="28" spans="1:15" ht="15">
      <c r="A28" s="13">
        <v>1</v>
      </c>
      <c r="B28" s="14" t="s">
        <v>70</v>
      </c>
      <c r="C28" s="13">
        <v>4</v>
      </c>
      <c r="D28" s="13">
        <v>48</v>
      </c>
      <c r="E28" s="13">
        <v>12</v>
      </c>
      <c r="F28" s="13">
        <v>3</v>
      </c>
      <c r="G28">
        <f>(((F28-1)*E28+D28)/24)+0.5</f>
        <v>3.5</v>
      </c>
      <c r="I28">
        <f>IF(B59=1,G28,IF(B59=2,G29,IF(B59=3,G30,IF(B59=4,G31,IF(B59=5,G32,IF(B59=6,G33,IF(B59=7,G34,L28)))))))</f>
        <v>3.5</v>
      </c>
      <c r="J28">
        <f>IF(I63=0,I28,I28*CMTreatProd1PercentBas)</f>
        <v>1.75</v>
      </c>
      <c r="L28">
        <f>IF(B59=8,G35,IF(B59=9,G36,IF(B59=10,G37,IF(B59=11,G38,IF(B59=12,G39,IF(B59=13,G40,IF(B59=14,G41,M28)))))))</f>
        <v>0</v>
      </c>
      <c r="M28">
        <f>IF(B59=15,G42,IF(B59=16,G43,IF(B59=17,G44,IF(B59=18,G45,IF(B59=19,G46,IF(B59=20,G47,IF(B59=21,G48,N28)))))))</f>
        <v>0</v>
      </c>
      <c r="N28">
        <f>IF(B59=22,G49,IF(B59=23,G50,IF(B59=24,G51,IF(B59=25,G52,IF(B59=26,G53,IF(B59=27,G54,O28))))))</f>
        <v>0</v>
      </c>
      <c r="O28">
        <f>IF(B59=28,G55,0)</f>
        <v>0</v>
      </c>
    </row>
    <row r="29" spans="1:7" ht="15">
      <c r="A29" s="13">
        <v>2</v>
      </c>
      <c r="B29" s="14" t="s">
        <v>80</v>
      </c>
      <c r="C29" s="17">
        <v>7</v>
      </c>
      <c r="D29" s="13">
        <v>84</v>
      </c>
      <c r="E29" s="13">
        <v>12</v>
      </c>
      <c r="F29" s="16">
        <v>3</v>
      </c>
      <c r="G29">
        <f aca="true" t="shared" si="6" ref="G29:G50">(((F29-1)*E29+D29)/24)+0.5</f>
        <v>5</v>
      </c>
    </row>
    <row r="30" spans="1:7" ht="15">
      <c r="A30" s="13">
        <v>3</v>
      </c>
      <c r="B30" s="14" t="s">
        <v>71</v>
      </c>
      <c r="C30" s="16"/>
      <c r="D30" s="13">
        <v>96</v>
      </c>
      <c r="E30" s="13">
        <v>24</v>
      </c>
      <c r="F30" s="13">
        <v>3</v>
      </c>
      <c r="G30">
        <f t="shared" si="6"/>
        <v>6.5</v>
      </c>
    </row>
    <row r="31" spans="1:7" ht="15">
      <c r="A31" s="13">
        <v>4</v>
      </c>
      <c r="B31" s="14" t="s">
        <v>72</v>
      </c>
      <c r="C31" s="17">
        <v>8</v>
      </c>
      <c r="D31" s="13">
        <v>96</v>
      </c>
      <c r="E31" s="13">
        <v>12</v>
      </c>
      <c r="F31" s="13">
        <v>3</v>
      </c>
      <c r="G31">
        <f t="shared" si="6"/>
        <v>5.5</v>
      </c>
    </row>
    <row r="32" spans="1:7" ht="15">
      <c r="A32" s="13">
        <v>5</v>
      </c>
      <c r="B32" s="34" t="s">
        <v>182</v>
      </c>
      <c r="C32" s="17">
        <v>8</v>
      </c>
      <c r="D32" s="13">
        <v>96</v>
      </c>
      <c r="E32" s="13">
        <v>12</v>
      </c>
      <c r="F32" s="13">
        <v>6</v>
      </c>
      <c r="G32" s="26">
        <f t="shared" si="6"/>
        <v>7</v>
      </c>
    </row>
    <row r="33" spans="1:7" ht="15">
      <c r="A33" s="13">
        <v>6</v>
      </c>
      <c r="B33" s="14" t="s">
        <v>81</v>
      </c>
      <c r="C33" s="17">
        <v>3</v>
      </c>
      <c r="D33" s="13">
        <v>36</v>
      </c>
      <c r="E33" s="13">
        <v>12</v>
      </c>
      <c r="F33" s="16">
        <v>3</v>
      </c>
      <c r="G33">
        <f t="shared" si="6"/>
        <v>3</v>
      </c>
    </row>
    <row r="34" spans="1:7" ht="15">
      <c r="A34" s="13">
        <v>7</v>
      </c>
      <c r="B34" s="14" t="s">
        <v>110</v>
      </c>
      <c r="C34" s="13">
        <v>6</v>
      </c>
      <c r="D34" s="13">
        <v>72</v>
      </c>
      <c r="E34" s="13">
        <v>12</v>
      </c>
      <c r="F34" s="16">
        <v>3</v>
      </c>
      <c r="G34">
        <f t="shared" si="6"/>
        <v>4.5</v>
      </c>
    </row>
    <row r="35" spans="1:7" ht="15">
      <c r="A35" s="13">
        <v>8</v>
      </c>
      <c r="B35" s="34" t="s">
        <v>183</v>
      </c>
      <c r="C35" s="35">
        <v>7</v>
      </c>
      <c r="D35" s="13">
        <v>84</v>
      </c>
      <c r="E35" s="13">
        <v>12</v>
      </c>
      <c r="F35" s="16">
        <v>6</v>
      </c>
      <c r="G35">
        <f t="shared" si="6"/>
        <v>6.5</v>
      </c>
    </row>
    <row r="36" spans="1:7" ht="15">
      <c r="A36" s="13">
        <v>9</v>
      </c>
      <c r="B36" s="14" t="s">
        <v>76</v>
      </c>
      <c r="C36" s="17">
        <v>5</v>
      </c>
      <c r="D36" s="13">
        <v>60</v>
      </c>
      <c r="E36" s="13">
        <v>12</v>
      </c>
      <c r="F36" s="16">
        <v>3</v>
      </c>
      <c r="G36">
        <f t="shared" si="6"/>
        <v>4</v>
      </c>
    </row>
    <row r="37" spans="1:7" ht="15">
      <c r="A37" s="13">
        <v>10</v>
      </c>
      <c r="B37" s="34" t="s">
        <v>180</v>
      </c>
      <c r="C37" s="17">
        <v>4</v>
      </c>
      <c r="D37" s="13">
        <v>96</v>
      </c>
      <c r="E37" s="13">
        <v>24</v>
      </c>
      <c r="F37" s="16">
        <v>3</v>
      </c>
      <c r="G37">
        <f t="shared" si="6"/>
        <v>6.5</v>
      </c>
    </row>
    <row r="38" spans="1:7" ht="15">
      <c r="A38" s="13">
        <v>11</v>
      </c>
      <c r="B38" s="14" t="s">
        <v>108</v>
      </c>
      <c r="C38" s="16"/>
      <c r="D38" s="13">
        <v>48</v>
      </c>
      <c r="E38" s="13">
        <v>24</v>
      </c>
      <c r="F38" s="13">
        <v>2</v>
      </c>
      <c r="G38">
        <f t="shared" si="6"/>
        <v>3.5</v>
      </c>
    </row>
    <row r="39" spans="1:7" ht="15">
      <c r="A39" s="13">
        <v>12</v>
      </c>
      <c r="B39" s="14" t="s">
        <v>107</v>
      </c>
      <c r="C39" s="16"/>
      <c r="D39" s="13">
        <v>48</v>
      </c>
      <c r="E39" s="13">
        <v>24</v>
      </c>
      <c r="F39" s="13">
        <v>3</v>
      </c>
      <c r="G39">
        <f t="shared" si="6"/>
        <v>4.5</v>
      </c>
    </row>
    <row r="40" spans="1:7" ht="15">
      <c r="A40" s="13">
        <v>13</v>
      </c>
      <c r="B40" s="14" t="s">
        <v>73</v>
      </c>
      <c r="C40" s="13">
        <v>8</v>
      </c>
      <c r="D40" s="13">
        <v>96</v>
      </c>
      <c r="E40" s="13">
        <v>24</v>
      </c>
      <c r="F40" s="13">
        <v>3</v>
      </c>
      <c r="G40">
        <f t="shared" si="6"/>
        <v>6.5</v>
      </c>
    </row>
    <row r="41" spans="1:7" ht="15">
      <c r="A41" s="13">
        <v>14</v>
      </c>
      <c r="B41" s="14" t="s">
        <v>77</v>
      </c>
      <c r="C41" s="17">
        <v>11</v>
      </c>
      <c r="D41" s="13">
        <v>132</v>
      </c>
      <c r="E41" s="13">
        <v>0</v>
      </c>
      <c r="F41" s="15">
        <v>1</v>
      </c>
      <c r="G41">
        <f t="shared" si="6"/>
        <v>6</v>
      </c>
    </row>
    <row r="42" spans="1:7" ht="15">
      <c r="A42" s="13">
        <v>15</v>
      </c>
      <c r="B42" s="14" t="s">
        <v>111</v>
      </c>
      <c r="C42" s="13">
        <v>7</v>
      </c>
      <c r="D42" s="13">
        <v>84</v>
      </c>
      <c r="E42" s="13">
        <v>12</v>
      </c>
      <c r="F42" s="15">
        <v>3</v>
      </c>
      <c r="G42">
        <f t="shared" si="6"/>
        <v>5</v>
      </c>
    </row>
    <row r="43" spans="1:7" ht="15">
      <c r="A43" s="13">
        <v>16</v>
      </c>
      <c r="B43" s="34" t="s">
        <v>184</v>
      </c>
      <c r="C43" s="13">
        <v>11</v>
      </c>
      <c r="D43" s="13">
        <v>132</v>
      </c>
      <c r="E43" s="13">
        <v>12</v>
      </c>
      <c r="F43" s="15">
        <v>6</v>
      </c>
      <c r="G43" s="26">
        <f t="shared" si="6"/>
        <v>8.5</v>
      </c>
    </row>
    <row r="44" spans="1:7" ht="15">
      <c r="A44" s="13">
        <v>17</v>
      </c>
      <c r="B44" s="14" t="s">
        <v>112</v>
      </c>
      <c r="C44" s="16">
        <v>4</v>
      </c>
      <c r="D44" s="13">
        <v>48</v>
      </c>
      <c r="E44" s="13">
        <v>12</v>
      </c>
      <c r="F44" s="17">
        <v>3</v>
      </c>
      <c r="G44">
        <f t="shared" si="6"/>
        <v>3.5</v>
      </c>
    </row>
    <row r="45" spans="1:7" ht="15">
      <c r="A45" s="13">
        <v>18</v>
      </c>
      <c r="B45" s="14" t="s">
        <v>113</v>
      </c>
      <c r="C45" s="13">
        <v>7</v>
      </c>
      <c r="D45" s="13">
        <v>84</v>
      </c>
      <c r="E45" s="13">
        <v>48</v>
      </c>
      <c r="F45" s="17">
        <v>3</v>
      </c>
      <c r="G45">
        <f t="shared" si="6"/>
        <v>8</v>
      </c>
    </row>
    <row r="46" spans="1:7" ht="15">
      <c r="A46" s="13">
        <v>19</v>
      </c>
      <c r="B46" s="14" t="s">
        <v>109</v>
      </c>
      <c r="C46" s="13">
        <v>7</v>
      </c>
      <c r="D46" s="13">
        <v>84</v>
      </c>
      <c r="E46" s="13">
        <v>48</v>
      </c>
      <c r="F46" s="17">
        <v>3</v>
      </c>
      <c r="G46">
        <f t="shared" si="6"/>
        <v>8</v>
      </c>
    </row>
    <row r="47" spans="1:7" ht="15">
      <c r="A47" s="13">
        <v>20</v>
      </c>
      <c r="B47" s="34" t="s">
        <v>181</v>
      </c>
      <c r="C47" s="13">
        <v>3</v>
      </c>
      <c r="D47" s="13">
        <v>72</v>
      </c>
      <c r="E47" s="13">
        <v>48</v>
      </c>
      <c r="F47" s="17">
        <v>3</v>
      </c>
      <c r="G47">
        <f t="shared" si="6"/>
        <v>7.5</v>
      </c>
    </row>
    <row r="48" spans="1:7" ht="15">
      <c r="A48" s="13">
        <v>21</v>
      </c>
      <c r="B48" s="14" t="s">
        <v>82</v>
      </c>
      <c r="C48" s="13">
        <v>9</v>
      </c>
      <c r="D48" s="13">
        <v>108</v>
      </c>
      <c r="E48" s="13">
        <v>12</v>
      </c>
      <c r="F48" s="15">
        <v>3</v>
      </c>
      <c r="G48">
        <f t="shared" si="6"/>
        <v>6</v>
      </c>
    </row>
    <row r="49" spans="1:7" ht="15">
      <c r="A49" s="13">
        <v>22</v>
      </c>
      <c r="B49" s="14" t="s">
        <v>114</v>
      </c>
      <c r="C49" s="13">
        <v>5</v>
      </c>
      <c r="D49" s="13">
        <v>48</v>
      </c>
      <c r="E49" s="13">
        <v>24</v>
      </c>
      <c r="F49" s="15">
        <v>2</v>
      </c>
      <c r="G49">
        <f t="shared" si="6"/>
        <v>3.5</v>
      </c>
    </row>
    <row r="50" spans="1:7" ht="15">
      <c r="A50" s="13">
        <v>23</v>
      </c>
      <c r="B50" s="14" t="s">
        <v>83</v>
      </c>
      <c r="C50" s="17">
        <v>4</v>
      </c>
      <c r="D50" s="13">
        <v>48</v>
      </c>
      <c r="E50" s="13">
        <v>12</v>
      </c>
      <c r="F50" s="15">
        <v>3</v>
      </c>
      <c r="G50">
        <f t="shared" si="6"/>
        <v>3.5</v>
      </c>
    </row>
    <row r="51" spans="1:7" ht="15">
      <c r="A51" s="13">
        <v>24</v>
      </c>
      <c r="B51" s="14" t="s">
        <v>75</v>
      </c>
      <c r="C51" s="13">
        <v>4</v>
      </c>
      <c r="D51" s="13">
        <v>48</v>
      </c>
      <c r="E51" s="13">
        <v>12</v>
      </c>
      <c r="F51" s="15">
        <v>3</v>
      </c>
      <c r="G51">
        <f>(((F51-1)*E51+D51)/24)+0.5</f>
        <v>3.5</v>
      </c>
    </row>
    <row r="52" spans="1:7" ht="15">
      <c r="A52" s="13">
        <v>25</v>
      </c>
      <c r="B52" s="34" t="s">
        <v>185</v>
      </c>
      <c r="C52" s="13">
        <v>6</v>
      </c>
      <c r="D52" s="13">
        <v>72</v>
      </c>
      <c r="E52" s="13">
        <v>12</v>
      </c>
      <c r="F52" s="15">
        <v>6</v>
      </c>
      <c r="G52">
        <f>(((F52-1)*E52+D52)/24)+0.5</f>
        <v>6</v>
      </c>
    </row>
    <row r="53" spans="1:7" ht="15">
      <c r="A53" s="13">
        <v>26</v>
      </c>
      <c r="B53" s="14" t="s">
        <v>74</v>
      </c>
      <c r="C53" s="16"/>
      <c r="D53" s="13">
        <v>72</v>
      </c>
      <c r="E53" s="13">
        <v>24</v>
      </c>
      <c r="F53" s="15">
        <v>3</v>
      </c>
      <c r="G53">
        <f>(((F53-1)*E53+D53)/24)+0.5</f>
        <v>5.5</v>
      </c>
    </row>
    <row r="54" spans="1:7" ht="15">
      <c r="A54" s="13">
        <v>27</v>
      </c>
      <c r="B54" s="14" t="s">
        <v>78</v>
      </c>
      <c r="C54" s="13">
        <v>6</v>
      </c>
      <c r="D54" s="13">
        <v>72</v>
      </c>
      <c r="E54" s="13">
        <v>24</v>
      </c>
      <c r="F54" s="15">
        <v>3</v>
      </c>
      <c r="G54">
        <f>(((F54-1)*E54+D54)/24)+0.5</f>
        <v>5.5</v>
      </c>
    </row>
    <row r="55" spans="1:7" ht="15">
      <c r="A55" s="13">
        <v>28</v>
      </c>
      <c r="B55" s="14" t="s">
        <v>79</v>
      </c>
      <c r="C55" s="16"/>
      <c r="D55" s="13">
        <v>72</v>
      </c>
      <c r="E55" s="13">
        <v>24</v>
      </c>
      <c r="F55" s="15">
        <v>3</v>
      </c>
      <c r="G55">
        <f>(((F55-1)*E55+D55)/24)+0.5</f>
        <v>5.5</v>
      </c>
    </row>
    <row r="56" ht="15">
      <c r="A56" s="13"/>
    </row>
    <row r="57" spans="1:6" ht="15">
      <c r="A57" s="13"/>
      <c r="B57" s="14"/>
      <c r="C57" s="13"/>
      <c r="D57" s="13"/>
      <c r="E57" s="13"/>
      <c r="F57" s="15"/>
    </row>
    <row r="59" ht="15">
      <c r="B59" s="29">
        <v>1</v>
      </c>
    </row>
    <row r="60" ht="15">
      <c r="B60" s="29" t="str">
        <f>INDEX(B28:B55,B59)</f>
        <v>Clavulox LC</v>
      </c>
    </row>
    <row r="62" spans="1:10" ht="15">
      <c r="A62" s="12" t="s">
        <v>64</v>
      </c>
      <c r="B62" s="12" t="s">
        <v>65</v>
      </c>
      <c r="C62" s="12" t="s">
        <v>66</v>
      </c>
      <c r="D62" s="12" t="s">
        <v>67</v>
      </c>
      <c r="E62" s="12" t="s">
        <v>68</v>
      </c>
      <c r="F62" s="12" t="s">
        <v>69</v>
      </c>
      <c r="G62" s="18" t="s">
        <v>84</v>
      </c>
      <c r="I62" s="20" t="s">
        <v>84</v>
      </c>
      <c r="J62" s="20" t="s">
        <v>85</v>
      </c>
    </row>
    <row r="63" spans="1:15" ht="15">
      <c r="A63" s="13">
        <v>1</v>
      </c>
      <c r="B63" s="14" t="s">
        <v>70</v>
      </c>
      <c r="C63" s="13">
        <v>4</v>
      </c>
      <c r="D63" s="13">
        <v>48</v>
      </c>
      <c r="E63" s="13">
        <v>12</v>
      </c>
      <c r="F63" s="13">
        <v>3</v>
      </c>
      <c r="G63">
        <f>(((F63-1)*E63+D63)/24)+0.5</f>
        <v>3.5</v>
      </c>
      <c r="I63">
        <f>IF(B94=1,G63,IF(B94=2,G64,IF(B94=3,G65,IF(B94=4,G66,IF(B94=5,G67,IF(B94=6,G68,IF(B94=7,G69,L63)))))))</f>
        <v>5.5</v>
      </c>
      <c r="J63">
        <f>I63*CMTreatProd2PercentInt</f>
        <v>2.75</v>
      </c>
      <c r="L63">
        <f>IF(B94=8,G70,IF(B94=9,G71,IF(B94=10,G72,IF(B94=11,G73,IF(B94=12,G74,IF(B94=13,G75,IF(B94=14,G76,M63)))))))</f>
        <v>5.5</v>
      </c>
      <c r="M63">
        <f>IF(B94=15,G77,IF(B94=16,G78,IF(B94=17,G79,IF(B94=18,G80,IF(B94=19,G81,IF(B94=20,G82,IF(B94=21,G83,N63)))))))</f>
        <v>5.5</v>
      </c>
      <c r="N63">
        <f>IF(B94=22,G84,IF(B94=23,G85,IF(B94=24,G86,IF(B94=25,G87,IF(B94=26,G88,IF(B94=27,G89,O63))))))</f>
        <v>5.5</v>
      </c>
      <c r="O63">
        <f>IF(B94=28,G90,0)</f>
        <v>0</v>
      </c>
    </row>
    <row r="64" spans="1:7" ht="15">
      <c r="A64" s="13">
        <v>2</v>
      </c>
      <c r="B64" s="14" t="s">
        <v>80</v>
      </c>
      <c r="C64" s="17">
        <v>7</v>
      </c>
      <c r="D64" s="13">
        <v>84</v>
      </c>
      <c r="E64" s="13">
        <v>12</v>
      </c>
      <c r="F64" s="16">
        <v>3</v>
      </c>
      <c r="G64">
        <f aca="true" t="shared" si="7" ref="G64:G85">(((F64-1)*E64+D64)/24)+0.5</f>
        <v>5</v>
      </c>
    </row>
    <row r="65" spans="1:7" ht="15">
      <c r="A65" s="13">
        <v>3</v>
      </c>
      <c r="B65" s="14" t="s">
        <v>71</v>
      </c>
      <c r="C65" s="16"/>
      <c r="D65" s="13">
        <v>96</v>
      </c>
      <c r="E65" s="13">
        <v>24</v>
      </c>
      <c r="F65" s="13">
        <v>3</v>
      </c>
      <c r="G65">
        <f t="shared" si="7"/>
        <v>6.5</v>
      </c>
    </row>
    <row r="66" spans="1:7" ht="15">
      <c r="A66" s="13">
        <v>4</v>
      </c>
      <c r="B66" s="14" t="s">
        <v>72</v>
      </c>
      <c r="C66" s="17">
        <v>8</v>
      </c>
      <c r="D66" s="13">
        <v>96</v>
      </c>
      <c r="E66" s="13">
        <v>12</v>
      </c>
      <c r="F66" s="13">
        <v>3</v>
      </c>
      <c r="G66">
        <f t="shared" si="7"/>
        <v>5.5</v>
      </c>
    </row>
    <row r="67" spans="1:7" ht="15">
      <c r="A67" s="13">
        <v>5</v>
      </c>
      <c r="B67" s="34" t="s">
        <v>182</v>
      </c>
      <c r="C67" s="17">
        <v>8</v>
      </c>
      <c r="D67" s="13">
        <v>96</v>
      </c>
      <c r="E67" s="13">
        <v>12</v>
      </c>
      <c r="F67" s="13">
        <v>6</v>
      </c>
      <c r="G67" s="26">
        <f t="shared" si="7"/>
        <v>7</v>
      </c>
    </row>
    <row r="68" spans="1:7" ht="15">
      <c r="A68" s="13">
        <v>6</v>
      </c>
      <c r="B68" s="14" t="s">
        <v>81</v>
      </c>
      <c r="C68" s="17">
        <v>3</v>
      </c>
      <c r="D68" s="13">
        <v>36</v>
      </c>
      <c r="E68" s="13">
        <v>12</v>
      </c>
      <c r="F68" s="16">
        <v>3</v>
      </c>
      <c r="G68">
        <f t="shared" si="7"/>
        <v>3</v>
      </c>
    </row>
    <row r="69" spans="1:7" ht="15">
      <c r="A69" s="13">
        <v>7</v>
      </c>
      <c r="B69" s="14" t="s">
        <v>110</v>
      </c>
      <c r="C69" s="13">
        <v>6</v>
      </c>
      <c r="D69" s="13">
        <v>72</v>
      </c>
      <c r="E69" s="13">
        <v>12</v>
      </c>
      <c r="F69" s="16">
        <v>3</v>
      </c>
      <c r="G69">
        <f t="shared" si="7"/>
        <v>4.5</v>
      </c>
    </row>
    <row r="70" spans="1:7" ht="15">
      <c r="A70" s="13">
        <v>8</v>
      </c>
      <c r="B70" s="34" t="s">
        <v>183</v>
      </c>
      <c r="C70" s="35">
        <v>7</v>
      </c>
      <c r="D70" s="13">
        <v>84</v>
      </c>
      <c r="E70" s="13">
        <v>12</v>
      </c>
      <c r="F70" s="16">
        <v>6</v>
      </c>
      <c r="G70">
        <f t="shared" si="7"/>
        <v>6.5</v>
      </c>
    </row>
    <row r="71" spans="1:7" ht="15">
      <c r="A71" s="13">
        <v>9</v>
      </c>
      <c r="B71" s="14" t="s">
        <v>76</v>
      </c>
      <c r="C71" s="17">
        <v>5</v>
      </c>
      <c r="D71" s="13">
        <v>60</v>
      </c>
      <c r="E71" s="13">
        <v>12</v>
      </c>
      <c r="F71" s="16">
        <v>3</v>
      </c>
      <c r="G71">
        <f t="shared" si="7"/>
        <v>4</v>
      </c>
    </row>
    <row r="72" spans="1:7" ht="15">
      <c r="A72" s="13">
        <v>10</v>
      </c>
      <c r="B72" s="34" t="s">
        <v>180</v>
      </c>
      <c r="C72" s="17">
        <v>4</v>
      </c>
      <c r="D72" s="13">
        <v>96</v>
      </c>
      <c r="E72" s="13">
        <v>24</v>
      </c>
      <c r="F72" s="16">
        <v>3</v>
      </c>
      <c r="G72">
        <f t="shared" si="7"/>
        <v>6.5</v>
      </c>
    </row>
    <row r="73" spans="1:7" ht="15">
      <c r="A73" s="13">
        <v>11</v>
      </c>
      <c r="B73" s="14" t="s">
        <v>108</v>
      </c>
      <c r="C73" s="16"/>
      <c r="D73" s="13">
        <v>48</v>
      </c>
      <c r="E73" s="13">
        <v>24</v>
      </c>
      <c r="F73" s="13">
        <v>2</v>
      </c>
      <c r="G73">
        <f t="shared" si="7"/>
        <v>3.5</v>
      </c>
    </row>
    <row r="74" spans="1:7" ht="15">
      <c r="A74" s="13">
        <v>12</v>
      </c>
      <c r="B74" s="14" t="s">
        <v>107</v>
      </c>
      <c r="C74" s="16"/>
      <c r="D74" s="13">
        <v>48</v>
      </c>
      <c r="E74" s="13">
        <v>24</v>
      </c>
      <c r="F74" s="13">
        <v>3</v>
      </c>
      <c r="G74">
        <f t="shared" si="7"/>
        <v>4.5</v>
      </c>
    </row>
    <row r="75" spans="1:7" ht="15">
      <c r="A75" s="13">
        <v>13</v>
      </c>
      <c r="B75" s="14" t="s">
        <v>73</v>
      </c>
      <c r="C75" s="13">
        <v>8</v>
      </c>
      <c r="D75" s="13">
        <v>96</v>
      </c>
      <c r="E75" s="13">
        <v>24</v>
      </c>
      <c r="F75" s="13">
        <v>3</v>
      </c>
      <c r="G75">
        <f t="shared" si="7"/>
        <v>6.5</v>
      </c>
    </row>
    <row r="76" spans="1:7" ht="15">
      <c r="A76" s="13">
        <v>14</v>
      </c>
      <c r="B76" s="14" t="s">
        <v>77</v>
      </c>
      <c r="C76" s="17">
        <v>11</v>
      </c>
      <c r="D76" s="13">
        <v>132</v>
      </c>
      <c r="E76" s="13">
        <v>0</v>
      </c>
      <c r="F76" s="15">
        <v>1</v>
      </c>
      <c r="G76">
        <f t="shared" si="7"/>
        <v>6</v>
      </c>
    </row>
    <row r="77" spans="1:7" ht="15">
      <c r="A77" s="13">
        <v>15</v>
      </c>
      <c r="B77" s="14" t="s">
        <v>111</v>
      </c>
      <c r="C77" s="13">
        <v>7</v>
      </c>
      <c r="D77" s="13">
        <v>84</v>
      </c>
      <c r="E77" s="13">
        <v>12</v>
      </c>
      <c r="F77" s="15">
        <v>3</v>
      </c>
      <c r="G77">
        <f t="shared" si="7"/>
        <v>5</v>
      </c>
    </row>
    <row r="78" spans="1:7" ht="15">
      <c r="A78" s="13">
        <v>16</v>
      </c>
      <c r="B78" s="34" t="s">
        <v>184</v>
      </c>
      <c r="C78" s="13">
        <v>11</v>
      </c>
      <c r="D78" s="13">
        <v>132</v>
      </c>
      <c r="E78" s="13">
        <v>12</v>
      </c>
      <c r="F78" s="15">
        <v>6</v>
      </c>
      <c r="G78" s="26">
        <f t="shared" si="7"/>
        <v>8.5</v>
      </c>
    </row>
    <row r="79" spans="1:7" ht="15">
      <c r="A79" s="13">
        <v>17</v>
      </c>
      <c r="B79" s="14" t="s">
        <v>112</v>
      </c>
      <c r="C79" s="16">
        <v>4</v>
      </c>
      <c r="D79" s="13">
        <v>48</v>
      </c>
      <c r="E79" s="13">
        <v>12</v>
      </c>
      <c r="F79" s="17">
        <v>3</v>
      </c>
      <c r="G79">
        <f t="shared" si="7"/>
        <v>3.5</v>
      </c>
    </row>
    <row r="80" spans="1:7" ht="15">
      <c r="A80" s="13">
        <v>18</v>
      </c>
      <c r="B80" s="14" t="s">
        <v>113</v>
      </c>
      <c r="C80" s="13">
        <v>7</v>
      </c>
      <c r="D80" s="13">
        <v>84</v>
      </c>
      <c r="E80" s="13">
        <v>48</v>
      </c>
      <c r="F80" s="17">
        <v>3</v>
      </c>
      <c r="G80">
        <f t="shared" si="7"/>
        <v>8</v>
      </c>
    </row>
    <row r="81" spans="1:7" ht="15">
      <c r="A81" s="13">
        <v>19</v>
      </c>
      <c r="B81" s="14" t="s">
        <v>109</v>
      </c>
      <c r="C81" s="13">
        <v>7</v>
      </c>
      <c r="D81" s="13">
        <v>84</v>
      </c>
      <c r="E81" s="13">
        <v>48</v>
      </c>
      <c r="F81" s="17">
        <v>3</v>
      </c>
      <c r="G81">
        <f t="shared" si="7"/>
        <v>8</v>
      </c>
    </row>
    <row r="82" spans="1:7" ht="15">
      <c r="A82" s="13">
        <v>20</v>
      </c>
      <c r="B82" s="34" t="s">
        <v>181</v>
      </c>
      <c r="C82" s="13">
        <v>3</v>
      </c>
      <c r="D82" s="13">
        <v>72</v>
      </c>
      <c r="E82" s="13">
        <v>48</v>
      </c>
      <c r="F82" s="17">
        <v>3</v>
      </c>
      <c r="G82">
        <f t="shared" si="7"/>
        <v>7.5</v>
      </c>
    </row>
    <row r="83" spans="1:7" ht="15">
      <c r="A83" s="13">
        <v>21</v>
      </c>
      <c r="B83" s="14" t="s">
        <v>82</v>
      </c>
      <c r="C83" s="13">
        <v>9</v>
      </c>
      <c r="D83" s="13">
        <v>108</v>
      </c>
      <c r="E83" s="13">
        <v>12</v>
      </c>
      <c r="F83" s="15">
        <v>3</v>
      </c>
      <c r="G83">
        <f t="shared" si="7"/>
        <v>6</v>
      </c>
    </row>
    <row r="84" spans="1:7" ht="15">
      <c r="A84" s="13">
        <v>22</v>
      </c>
      <c r="B84" s="14" t="s">
        <v>114</v>
      </c>
      <c r="C84" s="13">
        <v>5</v>
      </c>
      <c r="D84" s="13">
        <v>48</v>
      </c>
      <c r="E84" s="13">
        <v>24</v>
      </c>
      <c r="F84" s="15">
        <v>2</v>
      </c>
      <c r="G84">
        <f t="shared" si="7"/>
        <v>3.5</v>
      </c>
    </row>
    <row r="85" spans="1:7" ht="15">
      <c r="A85" s="13">
        <v>23</v>
      </c>
      <c r="B85" s="14" t="s">
        <v>83</v>
      </c>
      <c r="C85" s="17">
        <v>4</v>
      </c>
      <c r="D85" s="13">
        <v>48</v>
      </c>
      <c r="E85" s="13">
        <v>12</v>
      </c>
      <c r="F85" s="15">
        <v>3</v>
      </c>
      <c r="G85">
        <f t="shared" si="7"/>
        <v>3.5</v>
      </c>
    </row>
    <row r="86" spans="1:7" ht="15">
      <c r="A86" s="13">
        <v>24</v>
      </c>
      <c r="B86" s="14" t="s">
        <v>75</v>
      </c>
      <c r="C86" s="13">
        <v>4</v>
      </c>
      <c r="D86" s="13">
        <v>48</v>
      </c>
      <c r="E86" s="13">
        <v>12</v>
      </c>
      <c r="F86" s="15">
        <v>3</v>
      </c>
      <c r="G86">
        <f>(((F86-1)*E86+D86)/24)+0.5</f>
        <v>3.5</v>
      </c>
    </row>
    <row r="87" spans="1:7" ht="15">
      <c r="A87" s="13">
        <v>25</v>
      </c>
      <c r="B87" s="34" t="s">
        <v>185</v>
      </c>
      <c r="C87" s="13">
        <v>6</v>
      </c>
      <c r="D87" s="13">
        <v>72</v>
      </c>
      <c r="E87" s="13">
        <v>12</v>
      </c>
      <c r="F87" s="15">
        <v>6</v>
      </c>
      <c r="G87">
        <f>(((F87-1)*E87+D87)/24)+0.5</f>
        <v>6</v>
      </c>
    </row>
    <row r="88" spans="1:7" ht="15">
      <c r="A88" s="13">
        <v>26</v>
      </c>
      <c r="B88" s="14" t="s">
        <v>74</v>
      </c>
      <c r="C88" s="16"/>
      <c r="D88" s="13">
        <v>72</v>
      </c>
      <c r="E88" s="13">
        <v>24</v>
      </c>
      <c r="F88" s="15">
        <v>3</v>
      </c>
      <c r="G88">
        <f>(((F88-1)*E88+D88)/24)+0.5</f>
        <v>5.5</v>
      </c>
    </row>
    <row r="89" spans="1:7" ht="15">
      <c r="A89" s="13">
        <v>27</v>
      </c>
      <c r="B89" s="14" t="s">
        <v>78</v>
      </c>
      <c r="C89" s="13">
        <v>6</v>
      </c>
      <c r="D89" s="13">
        <v>72</v>
      </c>
      <c r="E89" s="13">
        <v>24</v>
      </c>
      <c r="F89" s="15">
        <v>3</v>
      </c>
      <c r="G89">
        <f>(((F89-1)*E89+D89)/24)+0.5</f>
        <v>5.5</v>
      </c>
    </row>
    <row r="90" spans="1:7" ht="15">
      <c r="A90" s="13">
        <v>28</v>
      </c>
      <c r="B90" s="14" t="s">
        <v>79</v>
      </c>
      <c r="C90" s="16"/>
      <c r="D90" s="13">
        <v>72</v>
      </c>
      <c r="E90" s="13">
        <v>24</v>
      </c>
      <c r="F90" s="15">
        <v>3</v>
      </c>
      <c r="G90">
        <f>(((F90-1)*E90+D90)/24)+0.5</f>
        <v>5.5</v>
      </c>
    </row>
    <row r="91" spans="1:6" ht="15">
      <c r="A91" s="19">
        <v>29</v>
      </c>
      <c r="B91" s="37" t="s">
        <v>60</v>
      </c>
      <c r="C91" s="35"/>
      <c r="D91" s="35"/>
      <c r="E91" s="35"/>
      <c r="F91" s="15"/>
    </row>
    <row r="92" spans="1:6" ht="15">
      <c r="A92" s="19"/>
      <c r="B92" s="36"/>
      <c r="C92" s="35"/>
      <c r="D92" s="35"/>
      <c r="E92" s="35"/>
      <c r="F92" s="15"/>
    </row>
    <row r="93" ht="15">
      <c r="A93" s="19"/>
    </row>
    <row r="94" ht="15">
      <c r="B94" s="29">
        <v>26</v>
      </c>
    </row>
    <row r="95" ht="15">
      <c r="B95" s="29" t="str">
        <f>INDEX(B63:B91,B94)</f>
        <v>Tylan 200</v>
      </c>
    </row>
    <row r="96" spans="8:10" ht="15">
      <c r="H96" t="s">
        <v>86</v>
      </c>
      <c r="J96">
        <f>IF(J63=0,J28,J28+J63)</f>
        <v>4.5</v>
      </c>
    </row>
    <row r="97" spans="1:2" ht="15">
      <c r="A97" t="s">
        <v>150</v>
      </c>
      <c r="B97" t="s">
        <v>148</v>
      </c>
    </row>
    <row r="98" ht="15">
      <c r="B98" t="s">
        <v>149</v>
      </c>
    </row>
    <row r="100" ht="15">
      <c r="B100" s="29">
        <v>1</v>
      </c>
    </row>
    <row r="101" ht="15">
      <c r="B101" s="29" t="str">
        <f>INDEX(B97:B98,B100)</f>
        <v>No</v>
      </c>
    </row>
    <row r="102" ht="15">
      <c r="B102" s="29"/>
    </row>
    <row r="103" spans="1:2" ht="45">
      <c r="A103" s="1" t="s">
        <v>177</v>
      </c>
      <c r="B103" s="29" t="s">
        <v>178</v>
      </c>
    </row>
    <row r="104" ht="15">
      <c r="B104" s="29" t="s">
        <v>179</v>
      </c>
    </row>
    <row r="105" ht="15">
      <c r="B105" s="29"/>
    </row>
    <row r="106" ht="15">
      <c r="B106" s="29">
        <v>1</v>
      </c>
    </row>
    <row r="107" ht="15">
      <c r="B107" s="29" t="str">
        <f>INDEX(B103:B104,B106)</f>
        <v>Fed to calves</v>
      </c>
    </row>
    <row r="108" ht="15">
      <c r="B108" s="29"/>
    </row>
    <row r="109" spans="1:2" ht="15">
      <c r="A109" t="s">
        <v>209</v>
      </c>
      <c r="B109" s="48">
        <f>CMPercentMonth6Plus</f>
        <v>0.2</v>
      </c>
    </row>
    <row r="111" spans="1:2" ht="15">
      <c r="A111" t="s">
        <v>151</v>
      </c>
      <c r="B111" s="41">
        <f>MSPercentDiscardedMilk</f>
        <v>0.09</v>
      </c>
    </row>
    <row r="112" spans="1:2" ht="15">
      <c r="A112" t="s">
        <v>152</v>
      </c>
      <c r="B112" s="8">
        <f>ABMilkValue*(1/MSPercentDiscardedMilk)</f>
        <v>1.6666666666666665</v>
      </c>
    </row>
    <row r="114" spans="1:2" ht="30">
      <c r="A114" s="1" t="s">
        <v>104</v>
      </c>
      <c r="B114" s="50">
        <f>ProdLossClin</f>
        <v>0.033</v>
      </c>
    </row>
    <row r="115" spans="1:2" ht="15">
      <c r="A115" t="s">
        <v>89</v>
      </c>
      <c r="B115" s="4">
        <f>TimePerCaseCM</f>
        <v>0.25</v>
      </c>
    </row>
    <row r="116" ht="15">
      <c r="B116" s="4"/>
    </row>
    <row r="117" spans="1:2" ht="45">
      <c r="A117" s="1" t="s">
        <v>135</v>
      </c>
      <c r="B117" s="39">
        <f>CullRiskCM</f>
        <v>0.032</v>
      </c>
    </row>
    <row r="118" spans="1:2" ht="15">
      <c r="A118" s="1"/>
      <c r="B118" s="21"/>
    </row>
    <row r="119" spans="1:3" ht="30">
      <c r="A119" s="25" t="s">
        <v>100</v>
      </c>
      <c r="B119" t="s">
        <v>92</v>
      </c>
      <c r="C119" t="s">
        <v>56</v>
      </c>
    </row>
    <row r="120" spans="1:3" ht="30">
      <c r="A120" s="1" t="s">
        <v>103</v>
      </c>
      <c r="B120">
        <f>FLOOR(CullRiskCM*SUM(DataInputIntermediate!C59:C79),1)</f>
        <v>2</v>
      </c>
      <c r="C120">
        <f>FLOOR(CullRiskCM*SUM(DataInputIntermediate!D59:D79),1)</f>
        <v>1</v>
      </c>
    </row>
    <row r="121" spans="1:3" ht="15">
      <c r="A121" t="s">
        <v>102</v>
      </c>
      <c r="B121" s="7">
        <f>HeiferProdDiff</f>
        <v>0.19</v>
      </c>
      <c r="C121" s="7">
        <f>HeiferProdDiff</f>
        <v>0.19</v>
      </c>
    </row>
    <row r="122" spans="1:3" ht="15">
      <c r="A122" s="22" t="s">
        <v>99</v>
      </c>
      <c r="B122" s="8">
        <f>B120*B121*(B10)*Payout</f>
        <v>864.5</v>
      </c>
      <c r="C122" s="8">
        <f>C120*C121*(C10)*Payout</f>
        <v>432.25</v>
      </c>
    </row>
    <row r="123" spans="1:3" ht="15">
      <c r="A123" t="s">
        <v>105</v>
      </c>
      <c r="B123" s="31">
        <f>B120*(ReplacementCost-CullValue)</f>
        <v>1800</v>
      </c>
      <c r="C123" s="31">
        <f>C120*(ReplacementCost-CullValue)</f>
        <v>900</v>
      </c>
    </row>
    <row r="124" spans="1:3" ht="15">
      <c r="A124" t="s">
        <v>106</v>
      </c>
      <c r="B124" s="11">
        <f>B122+B123</f>
        <v>2664.5</v>
      </c>
      <c r="C124" s="11">
        <f>C122+C123</f>
        <v>1332.25</v>
      </c>
    </row>
    <row r="126" spans="1:2" ht="15">
      <c r="A126" t="s">
        <v>213</v>
      </c>
      <c r="B126" t="s">
        <v>212</v>
      </c>
    </row>
    <row r="127" spans="1:2" ht="15">
      <c r="A127">
        <v>1</v>
      </c>
      <c r="B127" t="s">
        <v>214</v>
      </c>
    </row>
    <row r="128" spans="1:2" ht="15">
      <c r="A128">
        <v>2</v>
      </c>
      <c r="B128" t="s">
        <v>215</v>
      </c>
    </row>
    <row r="129" spans="1:2" ht="15">
      <c r="A129">
        <v>3</v>
      </c>
      <c r="B129" t="s">
        <v>216</v>
      </c>
    </row>
    <row r="130" spans="1:2" ht="15">
      <c r="A130">
        <v>4</v>
      </c>
      <c r="B130" t="s">
        <v>217</v>
      </c>
    </row>
    <row r="131" spans="1:2" ht="15">
      <c r="A131">
        <v>5</v>
      </c>
      <c r="B131" t="s">
        <v>218</v>
      </c>
    </row>
    <row r="132" spans="1:2" ht="15">
      <c r="A132">
        <v>6</v>
      </c>
      <c r="B132" t="s">
        <v>219</v>
      </c>
    </row>
    <row r="133" spans="1:2" ht="15">
      <c r="A133">
        <v>7</v>
      </c>
      <c r="B133" t="s">
        <v>220</v>
      </c>
    </row>
    <row r="134" spans="1:2" ht="15">
      <c r="A134">
        <v>8</v>
      </c>
      <c r="B134" t="s">
        <v>221</v>
      </c>
    </row>
    <row r="135" spans="1:2" ht="15">
      <c r="A135">
        <v>9</v>
      </c>
      <c r="B135" t="s">
        <v>222</v>
      </c>
    </row>
    <row r="136" spans="1:2" ht="15">
      <c r="A136">
        <v>10</v>
      </c>
      <c r="B136" t="s">
        <v>223</v>
      </c>
    </row>
    <row r="137" spans="1:2" ht="15">
      <c r="A137">
        <v>11</v>
      </c>
      <c r="B137" t="s">
        <v>224</v>
      </c>
    </row>
    <row r="138" spans="1:2" ht="15">
      <c r="A138">
        <v>12</v>
      </c>
      <c r="B138" t="s">
        <v>225</v>
      </c>
    </row>
    <row r="139" spans="1:2" ht="15">
      <c r="A139">
        <v>13</v>
      </c>
      <c r="B139" t="s">
        <v>214</v>
      </c>
    </row>
    <row r="140" spans="1:2" ht="15">
      <c r="A140">
        <v>14</v>
      </c>
      <c r="B140" t="s">
        <v>215</v>
      </c>
    </row>
    <row r="141" spans="1:2" ht="15">
      <c r="A141">
        <v>15</v>
      </c>
      <c r="B141" t="s">
        <v>216</v>
      </c>
    </row>
    <row r="142" spans="1:2" ht="15">
      <c r="A142">
        <v>16</v>
      </c>
      <c r="B142" t="s">
        <v>217</v>
      </c>
    </row>
    <row r="143" spans="1:2" ht="15">
      <c r="A143">
        <v>17</v>
      </c>
      <c r="B143" t="s">
        <v>218</v>
      </c>
    </row>
    <row r="144" spans="1:2" ht="15">
      <c r="A144">
        <v>18</v>
      </c>
      <c r="B144" t="s">
        <v>219</v>
      </c>
    </row>
    <row r="145" spans="1:2" ht="15">
      <c r="A145">
        <v>19</v>
      </c>
      <c r="B145" t="s">
        <v>220</v>
      </c>
    </row>
    <row r="146" spans="1:2" ht="15">
      <c r="A146">
        <v>20</v>
      </c>
      <c r="B146" t="s">
        <v>221</v>
      </c>
    </row>
    <row r="147" spans="1:2" ht="15">
      <c r="A147">
        <v>21</v>
      </c>
      <c r="B147" t="s">
        <v>222</v>
      </c>
    </row>
    <row r="148" spans="1:2" ht="15">
      <c r="A148">
        <v>22</v>
      </c>
      <c r="B148" t="s">
        <v>223</v>
      </c>
    </row>
    <row r="149" spans="1:2" ht="15">
      <c r="A149">
        <v>23</v>
      </c>
      <c r="B149" t="s">
        <v>224</v>
      </c>
    </row>
    <row r="150" spans="1:2" ht="15">
      <c r="A150">
        <v>24</v>
      </c>
      <c r="B150" t="s">
        <v>225</v>
      </c>
    </row>
    <row r="153" ht="15">
      <c r="B153" s="29">
        <v>7</v>
      </c>
    </row>
    <row r="154" ht="15">
      <c r="B154" s="245" t="str">
        <f>INDEX(B127:B150,B153)</f>
        <v>Jul</v>
      </c>
    </row>
  </sheetData>
  <sheetProtection password="8B19" sheet="1" selectLockedCells="1" selectUnlockedCells="1"/>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SmartSAMM Gap Calculator 2</dc:title>
  <dc:subject/>
  <dc:creator>DairyNZ</dc:creator>
  <cp:keywords>SmartSAMM Gap Calculator 2</cp:keywords>
  <dc:description/>
  <cp:lastModifiedBy>jane</cp:lastModifiedBy>
  <cp:lastPrinted>2011-08-18T03:22:51Z</cp:lastPrinted>
  <dcterms:created xsi:type="dcterms:W3CDTF">2010-03-09T21:59:23Z</dcterms:created>
  <dcterms:modified xsi:type="dcterms:W3CDTF">2011-09-08T02:23:02Z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